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240" yWindow="255" windowWidth="22470" windowHeight="13365"/>
  </bookViews>
  <sheets>
    <sheet name="REKAPITULACE CELKOVA" sheetId="2" r:id="rId1"/>
    <sheet name="AREÁLOVÁ DEŠŤOVÁ KANALIZACE" sheetId="1" r:id="rId2"/>
    <sheet name="AREÁLOVÁ SPLAŠKOVÁ KANALIZACE" sheetId="3" r:id="rId3"/>
  </sheets>
  <externalReferences>
    <externalReference r:id="rId4"/>
    <externalReference r:id="rId5"/>
    <externalReference r:id="rId6"/>
  </externalReferences>
  <definedNames>
    <definedName name="_obl11" localSheetId="2">#REF!</definedName>
    <definedName name="_obl11">#REF!</definedName>
    <definedName name="_obl12" localSheetId="2">#REF!</definedName>
    <definedName name="_obl12">#REF!</definedName>
    <definedName name="_obl13" localSheetId="2">#REF!</definedName>
    <definedName name="_obl13">#REF!</definedName>
    <definedName name="_obl14" localSheetId="2">#REF!</definedName>
    <definedName name="_obl14">#REF!</definedName>
    <definedName name="_obl15" localSheetId="2">#REF!</definedName>
    <definedName name="_obl15">#REF!</definedName>
    <definedName name="_obl16" localSheetId="2">#REF!</definedName>
    <definedName name="_obl16">#REF!</definedName>
    <definedName name="_obl17" localSheetId="2">#REF!</definedName>
    <definedName name="_obl17">#REF!</definedName>
    <definedName name="_obl1710" localSheetId="2">#REF!</definedName>
    <definedName name="_obl1710">#REF!</definedName>
    <definedName name="_obl1711" localSheetId="2">#REF!</definedName>
    <definedName name="_obl1711">#REF!</definedName>
    <definedName name="_obl1712" localSheetId="2">#REF!</definedName>
    <definedName name="_obl1712">#REF!</definedName>
    <definedName name="_obl1713" localSheetId="2">#REF!</definedName>
    <definedName name="_obl1713">#REF!</definedName>
    <definedName name="_obl1714" localSheetId="2">#REF!</definedName>
    <definedName name="_obl1714">#REF!</definedName>
    <definedName name="_obl1715" localSheetId="2">#REF!</definedName>
    <definedName name="_obl1715">#REF!</definedName>
    <definedName name="_obl1716" localSheetId="2">#REF!</definedName>
    <definedName name="_obl1716">#REF!</definedName>
    <definedName name="_obl1717" localSheetId="2">#REF!</definedName>
    <definedName name="_obl1717">#REF!</definedName>
    <definedName name="_obl1718" localSheetId="2">#REF!</definedName>
    <definedName name="_obl1718">#REF!</definedName>
    <definedName name="_obl1719" localSheetId="2">#REF!</definedName>
    <definedName name="_obl1719">#REF!</definedName>
    <definedName name="_obl173" localSheetId="2">#REF!</definedName>
    <definedName name="_obl173">#REF!</definedName>
    <definedName name="_obl174" localSheetId="2">#REF!</definedName>
    <definedName name="_obl174">#REF!</definedName>
    <definedName name="_obl175" localSheetId="2">#REF!</definedName>
    <definedName name="_obl175">#REF!</definedName>
    <definedName name="_obl176" localSheetId="2">#REF!</definedName>
    <definedName name="_obl176">#REF!</definedName>
    <definedName name="_obl177" localSheetId="2">#REF!</definedName>
    <definedName name="_obl177">#REF!</definedName>
    <definedName name="_obl178" localSheetId="2">#REF!</definedName>
    <definedName name="_obl178">#REF!</definedName>
    <definedName name="_obl179" localSheetId="2">#REF!</definedName>
    <definedName name="_obl179">#REF!</definedName>
    <definedName name="_obl18" localSheetId="2">#REF!</definedName>
    <definedName name="_obl18">#REF!</definedName>
    <definedName name="_obl181" localSheetId="2">#REF!</definedName>
    <definedName name="_obl181">#REF!</definedName>
    <definedName name="_obl1816" localSheetId="2">#REF!</definedName>
    <definedName name="_obl1816">#REF!</definedName>
    <definedName name="_obl1820" localSheetId="2">#REF!</definedName>
    <definedName name="_obl1820">#REF!</definedName>
    <definedName name="_obl1821" localSheetId="2">#REF!</definedName>
    <definedName name="_obl1821">#REF!</definedName>
    <definedName name="_obl1822" localSheetId="2">#REF!</definedName>
    <definedName name="_obl1822">#REF!</definedName>
    <definedName name="_obl1823" localSheetId="2">#REF!</definedName>
    <definedName name="_obl1823">#REF!</definedName>
    <definedName name="_obl1824" localSheetId="2">#REF!</definedName>
    <definedName name="_obl1824">#REF!</definedName>
    <definedName name="_obl1825" localSheetId="2">#REF!</definedName>
    <definedName name="_obl1825">#REF!</definedName>
    <definedName name="_obl1826" localSheetId="2">#REF!</definedName>
    <definedName name="_obl1826">#REF!</definedName>
    <definedName name="_obl1827" localSheetId="2">#REF!</definedName>
    <definedName name="_obl1827">#REF!</definedName>
    <definedName name="_obl1828" localSheetId="2">#REF!</definedName>
    <definedName name="_obl1828">#REF!</definedName>
    <definedName name="_obl1829" localSheetId="2">#REF!</definedName>
    <definedName name="_obl1829">#REF!</definedName>
    <definedName name="_obl183" localSheetId="2">#REF!</definedName>
    <definedName name="_obl183">#REF!</definedName>
    <definedName name="_obl1831" localSheetId="2">#REF!</definedName>
    <definedName name="_obl1831">#REF!</definedName>
    <definedName name="_obl1832" localSheetId="2">#REF!</definedName>
    <definedName name="_obl1832">#REF!</definedName>
    <definedName name="_obl184" localSheetId="2">#REF!</definedName>
    <definedName name="_obl184">#REF!</definedName>
    <definedName name="_obl185" localSheetId="2">#REF!</definedName>
    <definedName name="_obl185">#REF!</definedName>
    <definedName name="_obl186" localSheetId="2">#REF!</definedName>
    <definedName name="_obl186">#REF!</definedName>
    <definedName name="_obl187" localSheetId="2">#REF!</definedName>
    <definedName name="_obl187">#REF!</definedName>
    <definedName name="_SO16" hidden="1">{#N/A,#N/A,TRUE,"Krycí list"}</definedName>
    <definedName name="_VZT1" localSheetId="2">Scheduled_Payment+Extra_Payment</definedName>
    <definedName name="_VZT1">Scheduled_Payment+Extra_Payment</definedName>
    <definedName name="_VZT2" localSheetId="2">DATE(YEAR([1]!Loan_Start),MONTH([1]!Loan_Start)+Payment_Number,DAY([1]!Loan_Start))</definedName>
    <definedName name="_VZT2">DATE(YEAR([1]!Loan_Start),MONTH([1]!Loan_Start)+Payment_Number,DAY([1]!Loan_Start))</definedName>
    <definedName name="_vzt3" localSheetId="2">'[2]Rekapitulace roz.  vč. kapitol'!#REF!</definedName>
    <definedName name="_vzt3">'[2]Rekapitulace roz.  vč. kapitol'!#REF!</definedName>
    <definedName name="_VZT5" localSheetId="2">'[2]Rekapitulace roz.  vč. kapitol'!#REF!</definedName>
    <definedName name="_VZT5">'[2]Rekapitulace roz.  vč. kapitol'!#REF!</definedName>
    <definedName name="_VZT6" localSheetId="2">'[2]Rekapitulace roz.  vč. kapitol'!#REF!</definedName>
    <definedName name="_VZT6">'[2]Rekapitulace roz.  vč. kapitol'!#REF!</definedName>
    <definedName name="_VZT8" localSheetId="2">'[2]Rekapitulace roz.  vč. kapitol'!#REF!</definedName>
    <definedName name="_VZT8">'[2]Rekapitulace roz.  vč. kapitol'!#REF!</definedName>
    <definedName name="a" localSheetId="2">'[3]F.1.4.5. ZZTI'!#REF!</definedName>
    <definedName name="a">'[3]F.1.4.5. ZZTI'!#REF!</definedName>
    <definedName name="aaaaaaaa" hidden="1">{#N/A,#N/A,TRUE,"Krycí list"}</definedName>
    <definedName name="Beg_Bal" localSheetId="2">#REF!</definedName>
    <definedName name="Beg_Bal">#REF!</definedName>
    <definedName name="bghrerr" localSheetId="2">#REF!</definedName>
    <definedName name="bghrerr">#REF!</definedName>
    <definedName name="bhvfdgvf" localSheetId="2">#REF!</definedName>
    <definedName name="bhvfdgvf">#REF!</definedName>
    <definedName name="body_celkem" localSheetId="2">'[2]Rekapitulace roz.  vč. kapitol'!#REF!</definedName>
    <definedName name="body_celkem">'[2]Rekapitulace roz.  vč. kapitol'!#REF!</definedName>
    <definedName name="body_kapitoly" localSheetId="2">'[2]Rekapitulace roz.  vč. kapitol'!#REF!</definedName>
    <definedName name="body_kapitoly">'[2]Rekapitulace roz.  vč. kapitol'!#REF!</definedName>
    <definedName name="body_pomocny" localSheetId="2">'[2]Rekapitulace roz.  vč. kapitol'!#REF!</definedName>
    <definedName name="body_pomocny">'[2]Rekapitulace roz.  vč. kapitol'!#REF!</definedName>
    <definedName name="body_rozpocty" localSheetId="2">'[2]Rekapitulace roz.  vč. kapitol'!#REF!</definedName>
    <definedName name="body_rozpocty">'[2]Rekapitulace roz.  vč. kapitol'!#REF!</definedName>
    <definedName name="category1" localSheetId="2">#REF!</definedName>
    <definedName name="category1">#REF!</definedName>
    <definedName name="celkrozp" localSheetId="2">#REF!</definedName>
    <definedName name="celkrozp">#REF!</definedName>
    <definedName name="cisloobjektu" localSheetId="2">#REF!</definedName>
    <definedName name="cisloobjektu">#REF!</definedName>
    <definedName name="cislostavby" localSheetId="2">#REF!</definedName>
    <definedName name="cislostavby">#REF!</definedName>
    <definedName name="d" hidden="1">{#N/A,#N/A,TRUE,"Krycí list"}</definedName>
    <definedName name="Data" localSheetId="2">#REF!</definedName>
    <definedName name="Data">#REF!</definedName>
    <definedName name="Datum" localSheetId="2">#REF!</definedName>
    <definedName name="Datum">#REF!</definedName>
    <definedName name="dfdaf" localSheetId="2">#REF!</definedName>
    <definedName name="dfdaf">#REF!</definedName>
    <definedName name="Dil" localSheetId="2">#REF!</definedName>
    <definedName name="Dil">#REF!</definedName>
    <definedName name="DKGJSDGS" localSheetId="2">#REF!</definedName>
    <definedName name="DKGJSDGS">#REF!</definedName>
    <definedName name="dod" localSheetId="2">'[3]F.1.4.5. ZZTI'!#REF!</definedName>
    <definedName name="dod">'[3]F.1.4.5. ZZTI'!#REF!</definedName>
    <definedName name="Dodavka" localSheetId="2">#REF!</definedName>
    <definedName name="Dodavka">#REF!</definedName>
    <definedName name="Dodavka0" localSheetId="2">#REF!</definedName>
    <definedName name="Dodavka0">#REF!</definedName>
    <definedName name="dsfbhbg" localSheetId="2">#REF!</definedName>
    <definedName name="dsfbhbg">#REF!</definedName>
    <definedName name="End_Bal" localSheetId="2">#REF!</definedName>
    <definedName name="End_Bal">#REF!</definedName>
    <definedName name="exter1" localSheetId="2">#REF!</definedName>
    <definedName name="exter1">#REF!</definedName>
    <definedName name="Extra_Pay" localSheetId="2">#REF!</definedName>
    <definedName name="Extra_Pay">#REF!</definedName>
    <definedName name="f" localSheetId="2">#REF!</definedName>
    <definedName name="f">#REF!</definedName>
    <definedName name="Full_Print" localSheetId="2">#REF!</definedName>
    <definedName name="Full_Print">#REF!</definedName>
    <definedName name="ha" localSheetId="2">'[3]F.1.4.5. ZZTI'!#REF!</definedName>
    <definedName name="ha">'[3]F.1.4.5. ZZTI'!#REF!</definedName>
    <definedName name="Header_Row" localSheetId="2">ROW(#REF!)</definedName>
    <definedName name="Header_Row">ROW(#REF!)</definedName>
    <definedName name="hovno" localSheetId="2">#REF!</definedName>
    <definedName name="hovno">#REF!</definedName>
    <definedName name="hs" localSheetId="2">#REF!</definedName>
    <definedName name="hs">#REF!</definedName>
    <definedName name="HSV" localSheetId="2">#REF!</definedName>
    <definedName name="HSV">#REF!</definedName>
    <definedName name="HSV0" localSheetId="2">#REF!</definedName>
    <definedName name="HSV0">#REF!</definedName>
    <definedName name="HZS" localSheetId="2">#REF!</definedName>
    <definedName name="HZS">#REF!</definedName>
    <definedName name="HZS0" localSheetId="2">#REF!</definedName>
    <definedName name="HZS0">#REF!</definedName>
    <definedName name="Int" localSheetId="2">#REF!</definedName>
    <definedName name="Int">#REF!</definedName>
    <definedName name="inter1" localSheetId="2">#REF!</definedName>
    <definedName name="inter1">#REF!</definedName>
    <definedName name="Interest_Rate" localSheetId="2">#REF!</definedName>
    <definedName name="Interest_Rate">#REF!</definedName>
    <definedName name="JKSO" localSheetId="2">#REF!</definedName>
    <definedName name="JKSO">#REF!</definedName>
    <definedName name="jzzuggt" localSheetId="2">#REF!</definedName>
    <definedName name="jzzuggt">#REF!</definedName>
    <definedName name="Last_Row" localSheetId="2">IF('AREÁLOVÁ SPLAŠKOVÁ KANALIZACE'!Values_Entered,'AREÁLOVÁ SPLAŠKOVÁ KANALIZACE'!Header_Row+'AREÁLOVÁ SPLAŠKOVÁ KANALIZACE'!Number_of_Payments,'AREÁLOVÁ SPLAŠKOVÁ KANALIZACE'!Header_Row)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2">#REF!</definedName>
    <definedName name="Loan_Amount">#REF!</definedName>
    <definedName name="Loan_Start" localSheetId="2">#REF!</definedName>
    <definedName name="Loan_Start">#REF!</definedName>
    <definedName name="Loan_Years" localSheetId="2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2">Scheduled_Payment+Extra_Payment</definedName>
    <definedName name="mereni">Scheduled_Payment+Extra_Payment</definedName>
    <definedName name="MJ" localSheetId="2">#REF!</definedName>
    <definedName name="MJ">#REF!</definedName>
    <definedName name="Mont" localSheetId="2">#REF!</definedName>
    <definedName name="Mont">#REF!</definedName>
    <definedName name="Montaz0" localSheetId="2">#REF!</definedName>
    <definedName name="Montaz0">#REF!</definedName>
    <definedName name="mts" localSheetId="2">#REF!</definedName>
    <definedName name="mts">#REF!</definedName>
    <definedName name="n" localSheetId="2">Scheduled_Payment+Extra_Payment</definedName>
    <definedName name="n">Scheduled_Payment+Extra_Payment</definedName>
    <definedName name="NazevDilu" localSheetId="2">#REF!</definedName>
    <definedName name="NazevDilu">#REF!</definedName>
    <definedName name="nazevobjektu" localSheetId="2">#REF!</definedName>
    <definedName name="nazevobjektu">#REF!</definedName>
    <definedName name="nazevstavby" localSheetId="2">#REF!</definedName>
    <definedName name="nazevstavby">#REF!</definedName>
    <definedName name="Num_Pmt_Per_Year" localSheetId="2">#REF!</definedName>
    <definedName name="Num_Pmt_Per_Year">#REF!</definedName>
    <definedName name="Number_of_Payments" localSheetId="2">MATCH(0.01,'AREÁLOVÁ SPLAŠKOVÁ KANALIZACE'!End_Bal,-1)+1</definedName>
    <definedName name="Number_of_Payments">MATCH(0.01,End_Bal,-1)+1</definedName>
    <definedName name="obch_sleva" localSheetId="2">#REF!</definedName>
    <definedName name="obch_sleva">#REF!</definedName>
    <definedName name="Objednatel" localSheetId="2">#REF!</definedName>
    <definedName name="Objednatel">#REF!</definedName>
    <definedName name="_xlnm.Print_Area" localSheetId="1">'AREÁLOVÁ DEŠŤOVÁ KANALIZACE'!$A$1:$I$225</definedName>
    <definedName name="_xlnm.Print_Area" localSheetId="2">'AREÁLOVÁ SPLAŠKOVÁ KANALIZACE'!$A$1:$I$94</definedName>
    <definedName name="_xlnm.Print_Area" localSheetId="0">'REKAPITULACE CELKOVA'!$A$1:$C$11</definedName>
    <definedName name="op" localSheetId="2">#REF!</definedName>
    <definedName name="op">#REF!</definedName>
    <definedName name="Outside" hidden="1">{#N/A,#N/A,TRUE,"Krycí list"}</definedName>
    <definedName name="Pay_Date" localSheetId="2">#REF!</definedName>
    <definedName name="Pay_Date">#REF!</definedName>
    <definedName name="Pay_Num" localSheetId="2">#REF!</definedName>
    <definedName name="Pay_Num">#REF!</definedName>
    <definedName name="Payment_Date" localSheetId="2">DATE(YEAR('AREÁLOVÁ SPLAŠKOVÁ KANALIZACE'!Loan_Start),MONTH('AREÁLOVÁ SPLAŠKOVÁ KANALIZACE'!Loan_Start)+Payment_Number,DAY('AREÁLOVÁ SPLAŠKOVÁ KANALIZACE'!Loan_Start))</definedName>
    <definedName name="Payment_Date">DATE(YEAR(Loan_Start),MONTH(Loan_Start)+Payment_Number,DAY(Loan_Start))</definedName>
    <definedName name="PocetMJ" localSheetId="2">#REF!</definedName>
    <definedName name="PocetMJ">#REF!</definedName>
    <definedName name="pokusAAAA" localSheetId="2">#REF!</definedName>
    <definedName name="pokusAAAA">#REF!</definedName>
    <definedName name="pokusadres" localSheetId="2">#REF!</definedName>
    <definedName name="pokusadres">#REF!</definedName>
    <definedName name="položka_A1" localSheetId="2">#REF!</definedName>
    <definedName name="položka_A1">#REF!</definedName>
    <definedName name="položky" localSheetId="2">#REF!</definedName>
    <definedName name="položky">#REF!</definedName>
    <definedName name="pom_výp_zač" localSheetId="2">#REF!</definedName>
    <definedName name="pom_výp_zač">#REF!</definedName>
    <definedName name="pom_výpočty" localSheetId="2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2">#REF!</definedName>
    <definedName name="Poznamka">#REF!</definedName>
    <definedName name="poznámka" localSheetId="2">#REF!</definedName>
    <definedName name="poznámka">#REF!</definedName>
    <definedName name="prep_schem" localSheetId="2">#REF!</definedName>
    <definedName name="prep_schem">#REF!</definedName>
    <definedName name="Princ" localSheetId="2">#REF!</definedName>
    <definedName name="Princ">#REF!</definedName>
    <definedName name="Print_Area_Reset" localSheetId="2">OFFSET('AREÁLOVÁ SPLAŠKOVÁ KANALIZACE'!Full_Print,0,0,'AREÁLOVÁ SPLAŠKOVÁ KANALIZACE'!Last_Row)</definedName>
    <definedName name="Print_Area_Reset">OFFSET(Full_Print,0,0,Last_Row)</definedName>
    <definedName name="Projektant" localSheetId="2">#REF!</definedName>
    <definedName name="Projektant">#REF!</definedName>
    <definedName name="PSV" localSheetId="2">#REF!</definedName>
    <definedName name="PSV">#REF!</definedName>
    <definedName name="PSV0" localSheetId="2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2">#REF!</definedName>
    <definedName name="rekapitulace">#REF!</definedName>
    <definedName name="rozp" hidden="1">{#N/A,#N/A,TRUE,"Krycí list"}</definedName>
    <definedName name="rozvržení_rozp" localSheetId="2">#REF!</definedName>
    <definedName name="rozvržení_rozp">#REF!</definedName>
    <definedName name="saboproud" hidden="1">{#N/A,#N/A,TRUE,"Krycí list"}</definedName>
    <definedName name="SazbaDPH1" localSheetId="2">#REF!</definedName>
    <definedName name="SazbaDPH1">#REF!</definedName>
    <definedName name="SazbaDPH2" localSheetId="2">#REF!</definedName>
    <definedName name="SazbaDPH2">#REF!</definedName>
    <definedName name="Sched_Pay" localSheetId="2">#REF!</definedName>
    <definedName name="Sched_Pay">#REF!</definedName>
    <definedName name="Scheduled_Extra_Payments" localSheetId="2">#REF!</definedName>
    <definedName name="Scheduled_Extra_Payments">#REF!</definedName>
    <definedName name="Scheduled_Interest_Rate" localSheetId="2">#REF!</definedName>
    <definedName name="Scheduled_Interest_Rate">#REF!</definedName>
    <definedName name="Scheduled_Monthly_Payment" localSheetId="2">#REF!</definedName>
    <definedName name="Scheduled_Monthly_Payment">#REF!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soupis" hidden="1">{#N/A,#N/A,TRUE,"Krycí list"}</definedName>
    <definedName name="ssss" localSheetId="2">#REF!</definedName>
    <definedName name="ssss">#REF!</definedName>
    <definedName name="subslevy" localSheetId="2">#REF!</definedName>
    <definedName name="subslevy">#REF!</definedName>
    <definedName name="sum_kapitoly" localSheetId="2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2">#REF!</definedName>
    <definedName name="sumpok">#REF!</definedName>
    <definedName name="Switchboard" hidden="1">{#N/A,#N/A,TRUE,"Krycí list"}</definedName>
    <definedName name="tab" localSheetId="2">#REF!</definedName>
    <definedName name="tab">#REF!</definedName>
    <definedName name="Total_Interest" localSheetId="2">#REF!</definedName>
    <definedName name="Total_Interest">#REF!</definedName>
    <definedName name="Total_Pay" localSheetId="2">#REF!</definedName>
    <definedName name="Total_Pay">#REF!</definedName>
    <definedName name="Total_Payment" localSheetId="2">Scheduled_Payment+Extra_Payment</definedName>
    <definedName name="Total_Payment">Scheduled_Payment+Extra_Payment</definedName>
    <definedName name="Typ" localSheetId="2">#REF!</definedName>
    <definedName name="Typ">#REF!</definedName>
    <definedName name="v" localSheetId="2">'[2]Rekapitulace roz.  vč. kapitol'!#REF!</definedName>
    <definedName name="v">'[2]Rekapitulace roz.  vč. kapitol'!#REF!</definedName>
    <definedName name="Values_Entered" localSheetId="2">IF('AREÁLOVÁ SPLAŠKOVÁ KANALIZACE'!Loan_Amount*'AREÁLOVÁ SPLAŠKOVÁ KANALIZACE'!Interest_Rate*'AREÁLOVÁ SPLAŠKOVÁ KANALIZACE'!Loan_Years*'AREÁLOVÁ SPLAŠKOVÁ KANALIZACE'!Loan_Start&gt;0,1,0)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2">#REF!</definedName>
    <definedName name="VRN">#REF!</definedName>
    <definedName name="VRNKc" localSheetId="2">#REF!</definedName>
    <definedName name="VRNKc">#REF!</definedName>
    <definedName name="VRNnazev" localSheetId="2">#REF!</definedName>
    <definedName name="VRNnazev">#REF!</definedName>
    <definedName name="VRNproc" localSheetId="2">#REF!</definedName>
    <definedName name="VRNproc">#REF!</definedName>
    <definedName name="VRNzakl" localSheetId="2">#REF!</definedName>
    <definedName name="VRNzakl">#REF!</definedName>
    <definedName name="výpočty" localSheetId="2">#REF!</definedName>
    <definedName name="výpočty">#REF!</definedName>
    <definedName name="vystup" localSheetId="2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2">#REF!</definedName>
    <definedName name="zahrnsazby">#REF!</definedName>
    <definedName name="zahrnslevy" localSheetId="2">#REF!</definedName>
    <definedName name="zahrnslevy">#REF!</definedName>
    <definedName name="Zakazka" localSheetId="2">#REF!</definedName>
    <definedName name="Zakazka">#REF!</definedName>
    <definedName name="Zaklad22" localSheetId="2">#REF!</definedName>
    <definedName name="Zaklad22">#REF!</definedName>
    <definedName name="Zaklad5" localSheetId="2">#REF!</definedName>
    <definedName name="Zaklad5">#REF!</definedName>
    <definedName name="Zhotovitel" localSheetId="2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81" i="1"/>
  <c r="F79"/>
  <c r="F80"/>
  <c r="H80" s="1"/>
  <c r="H154"/>
  <c r="F186" l="1"/>
  <c r="H186" s="1"/>
  <c r="F162"/>
  <c r="F214"/>
  <c r="F167" l="1"/>
  <c r="H167" s="1"/>
  <c r="F165"/>
  <c r="H165" s="1"/>
  <c r="F198"/>
  <c r="F173"/>
  <c r="F159"/>
  <c r="F156"/>
  <c r="F103"/>
  <c r="F100"/>
  <c r="F70"/>
  <c r="F56"/>
  <c r="F37"/>
  <c r="F54"/>
  <c r="F35"/>
  <c r="F102"/>
  <c r="F99"/>
  <c r="F98"/>
  <c r="F97"/>
  <c r="F96"/>
  <c r="F95"/>
  <c r="F94"/>
  <c r="F93"/>
  <c r="F92"/>
  <c r="F91"/>
  <c r="F90"/>
  <c r="F89"/>
  <c r="F88"/>
  <c r="F87"/>
  <c r="F86"/>
  <c r="F85"/>
  <c r="F84" l="1"/>
  <c r="F115"/>
  <c r="F113"/>
  <c r="F112"/>
  <c r="F111"/>
  <c r="F110"/>
  <c r="F109"/>
  <c r="F108"/>
  <c r="F107"/>
  <c r="F106"/>
  <c r="F105"/>
  <c r="F153"/>
  <c r="F152"/>
  <c r="F151"/>
  <c r="F150"/>
  <c r="F149"/>
  <c r="F148"/>
  <c r="F147"/>
  <c r="F146"/>
  <c r="F145"/>
  <c r="F144"/>
  <c r="F143"/>
  <c r="F142"/>
  <c r="F141"/>
  <c r="F140"/>
  <c r="F139"/>
  <c r="F138"/>
  <c r="F75"/>
  <c r="F74"/>
  <c r="F73"/>
  <c r="F69"/>
  <c r="F68"/>
  <c r="F67"/>
  <c r="F66"/>
  <c r="F65"/>
  <c r="F64"/>
  <c r="F63"/>
  <c r="F62"/>
  <c r="F61"/>
  <c r="F60"/>
  <c r="F59"/>
  <c r="F58"/>
  <c r="F18"/>
  <c r="F34"/>
  <c r="F53"/>
  <c r="F104" l="1"/>
  <c r="F57"/>
  <c r="F71"/>
  <c r="F137"/>
  <c r="F52" l="1"/>
  <c r="F51"/>
  <c r="F50"/>
  <c r="F49"/>
  <c r="F48"/>
  <c r="F47"/>
  <c r="F46"/>
  <c r="F45"/>
  <c r="F44"/>
  <c r="F43"/>
  <c r="F42"/>
  <c r="F41"/>
  <c r="F40"/>
  <c r="F39"/>
  <c r="F38" l="1"/>
  <c r="F177" l="1"/>
  <c r="H177" s="1"/>
  <c r="F33"/>
  <c r="F32"/>
  <c r="F31"/>
  <c r="F30"/>
  <c r="F29"/>
  <c r="F28"/>
  <c r="F27"/>
  <c r="F26"/>
  <c r="F25"/>
  <c r="F24"/>
  <c r="F23"/>
  <c r="F22"/>
  <c r="F21"/>
  <c r="F20"/>
  <c r="F55" i="3" l="1"/>
  <c r="H55" s="1"/>
  <c r="F57"/>
  <c r="H57" s="1"/>
  <c r="F26"/>
  <c r="H173" i="1"/>
  <c r="F83" i="3"/>
  <c r="F61"/>
  <c r="H61" s="1"/>
  <c r="F54"/>
  <c r="F49"/>
  <c r="F45"/>
  <c r="F40"/>
  <c r="F37"/>
  <c r="F34"/>
  <c r="F28"/>
  <c r="F67"/>
  <c r="F32"/>
  <c r="F23"/>
  <c r="F21"/>
  <c r="F16"/>
  <c r="F18"/>
  <c r="F158" i="1"/>
  <c r="H158" s="1"/>
  <c r="F63" i="3" l="1"/>
  <c r="H63" s="1"/>
  <c r="F53" l="1"/>
  <c r="H53" s="1"/>
  <c r="F38"/>
  <c r="F35"/>
  <c r="F42"/>
  <c r="F46"/>
  <c r="F29"/>
  <c r="F24"/>
  <c r="F19"/>
  <c r="F27" l="1"/>
  <c r="F30" s="1"/>
  <c r="H30" s="1"/>
  <c r="F84"/>
  <c r="H84" s="1"/>
  <c r="F82"/>
  <c r="H82" s="1"/>
  <c r="F79"/>
  <c r="H79" s="1"/>
  <c r="F75"/>
  <c r="H75" s="1"/>
  <c r="H74"/>
  <c r="F66"/>
  <c r="F59"/>
  <c r="H59" s="1"/>
  <c r="F48"/>
  <c r="F41"/>
  <c r="H41" s="1"/>
  <c r="F39"/>
  <c r="H39" s="1"/>
  <c r="F31"/>
  <c r="H31" s="1"/>
  <c r="F25"/>
  <c r="H25" s="1"/>
  <c r="F20"/>
  <c r="H20" s="1"/>
  <c r="F15"/>
  <c r="H15" s="1"/>
  <c r="H14"/>
  <c r="H13"/>
  <c r="H12"/>
  <c r="H11"/>
  <c r="F17" l="1"/>
  <c r="H17" s="1"/>
  <c r="F22"/>
  <c r="H22" s="1"/>
  <c r="F36"/>
  <c r="H36" s="1"/>
  <c r="F44"/>
  <c r="H44" s="1"/>
  <c r="H43" s="1"/>
  <c r="H73"/>
  <c r="F33"/>
  <c r="H33" s="1"/>
  <c r="H78"/>
  <c r="H77" s="1"/>
  <c r="F68"/>
  <c r="F52"/>
  <c r="F51" s="1"/>
  <c r="H51" s="1"/>
  <c r="H48"/>
  <c r="H27"/>
  <c r="F181" i="1"/>
  <c r="H181" s="1"/>
  <c r="H47" i="3" l="1"/>
  <c r="H10"/>
  <c r="H68"/>
  <c r="F69"/>
  <c r="F134" i="1"/>
  <c r="H134" s="1"/>
  <c r="F132"/>
  <c r="H132" s="1"/>
  <c r="F130"/>
  <c r="H130" s="1"/>
  <c r="F128"/>
  <c r="H128" s="1"/>
  <c r="F127"/>
  <c r="F126" s="1"/>
  <c r="H126" s="1"/>
  <c r="F125"/>
  <c r="F124" s="1"/>
  <c r="H124" s="1"/>
  <c r="F121"/>
  <c r="H121" s="1"/>
  <c r="F119"/>
  <c r="F118" s="1"/>
  <c r="H118" s="1"/>
  <c r="F116"/>
  <c r="H116" s="1"/>
  <c r="F191"/>
  <c r="F16"/>
  <c r="F15" s="1"/>
  <c r="F83" s="1"/>
  <c r="F82" s="1"/>
  <c r="H82" s="1"/>
  <c r="F70" i="3" l="1"/>
  <c r="H69"/>
  <c r="F19" i="1"/>
  <c r="F194"/>
  <c r="H15"/>
  <c r="H70" i="3" l="1"/>
  <c r="F71"/>
  <c r="H194" i="1"/>
  <c r="F195"/>
  <c r="F72" i="3" l="1"/>
  <c r="H72" s="1"/>
  <c r="H71"/>
  <c r="F196" i="1"/>
  <c r="H196" s="1"/>
  <c r="H195"/>
  <c r="G191" l="1"/>
  <c r="H191" s="1"/>
  <c r="G66" i="3"/>
  <c r="H66" s="1"/>
  <c r="F197" i="1"/>
  <c r="F206"/>
  <c r="H206" s="1"/>
  <c r="H205"/>
  <c r="F213"/>
  <c r="H213" s="1"/>
  <c r="F215"/>
  <c r="H215" s="1"/>
  <c r="F210"/>
  <c r="H210" s="1"/>
  <c r="F171"/>
  <c r="H171" s="1"/>
  <c r="F175"/>
  <c r="H175" s="1"/>
  <c r="F169"/>
  <c r="H169" s="1"/>
  <c r="F163"/>
  <c r="H163" s="1"/>
  <c r="H65" i="3" l="1"/>
  <c r="H9" s="1"/>
  <c r="H86" s="1"/>
  <c r="H88" s="1"/>
  <c r="C10" i="2" s="1"/>
  <c r="H204" i="1"/>
  <c r="F199"/>
  <c r="H209"/>
  <c r="H208" s="1"/>
  <c r="F200" l="1"/>
  <c r="H199"/>
  <c r="F201" l="1"/>
  <c r="H200"/>
  <c r="F202" l="1"/>
  <c r="H201"/>
  <c r="F203" l="1"/>
  <c r="H203" s="1"/>
  <c r="H202"/>
  <c r="G197" l="1"/>
  <c r="H197" s="1"/>
  <c r="H190" s="1"/>
  <c r="F101"/>
  <c r="F114"/>
  <c r="H114" s="1"/>
  <c r="H137" l="1"/>
  <c r="H136" s="1"/>
  <c r="F155"/>
  <c r="H155" l="1"/>
  <c r="F161"/>
  <c r="H161" s="1"/>
  <c r="F78" l="1"/>
  <c r="H78" s="1"/>
  <c r="F55"/>
  <c r="F36"/>
  <c r="H36" s="1"/>
  <c r="H104"/>
  <c r="H101"/>
  <c r="H84"/>
  <c r="F17"/>
  <c r="H17" s="1"/>
  <c r="H14"/>
  <c r="H13"/>
  <c r="H12"/>
  <c r="H11"/>
  <c r="H55" l="1"/>
  <c r="H38"/>
  <c r="H19"/>
  <c r="H71"/>
  <c r="F76"/>
  <c r="H76" s="1"/>
  <c r="H57"/>
  <c r="F77" l="1"/>
  <c r="H77" s="1"/>
  <c r="H10" l="1"/>
  <c r="H9" s="1"/>
  <c r="H217" s="1"/>
  <c r="H219" s="1"/>
  <c r="C9" i="2" s="1"/>
  <c r="C11" s="1"/>
</calcChain>
</file>

<file path=xl/sharedStrings.xml><?xml version="1.0" encoding="utf-8"?>
<sst xmlns="http://schemas.openxmlformats.org/spreadsheetml/2006/main" count="641" uniqueCount="320">
  <si>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</si>
  <si>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</si>
  <si>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</si>
  <si>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</si>
  <si>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</si>
  <si>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</si>
  <si>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</si>
  <si>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</si>
  <si>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</si>
  <si>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</si>
  <si>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</si>
  <si>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HSV</t>
  </si>
  <si>
    <t>Práce a dodávky HSV</t>
  </si>
  <si>
    <t>Zemní práce</t>
  </si>
  <si>
    <t>Čerpání vody na dopravní výšku do 10 m průměrný přítok do 500 l/min</t>
  </si>
  <si>
    <t>hod</t>
  </si>
  <si>
    <t>Pohotovost čerpací soupravy pro dopravní výšku do 10 m přítok do 500 l/min</t>
  </si>
  <si>
    <t>den</t>
  </si>
  <si>
    <t>001</t>
  </si>
  <si>
    <t>m</t>
  </si>
  <si>
    <t>Dočasné zajištění kabelů a kabelových tratí ze 3 volně ložených kabelů</t>
  </si>
  <si>
    <t>Příplatek za ztížení vykopávky v blízkosti podzemního vedení</t>
  </si>
  <si>
    <t>m3</t>
  </si>
  <si>
    <t>Příplatek za lepivost k hloubení rýh š do 2000 mm v hornině tř. 3</t>
  </si>
  <si>
    <t>m2</t>
  </si>
  <si>
    <t>Zásyp jam, šachet rýh nebo kolem objektů sypaninou se zhutněním</t>
  </si>
  <si>
    <t>kamenivo drcené hrubé frakce 16-32</t>
  </si>
  <si>
    <t>t</t>
  </si>
  <si>
    <t>Obsypání potrubí ručně sypaninou bez prohození, uloženou do 3 m</t>
  </si>
  <si>
    <t>kamenivo drcené hrubé směs frakce 8-16</t>
  </si>
  <si>
    <t>kus</t>
  </si>
  <si>
    <t>Vodorovné konstrukce</t>
  </si>
  <si>
    <t>8</t>
  </si>
  <si>
    <t>Trubní vedení</t>
  </si>
  <si>
    <t>871999101 SPC</t>
  </si>
  <si>
    <t>D+M Výstražná fólie a signalizační vodič - Specifikace dle PD</t>
  </si>
  <si>
    <t xml:space="preserve">" V ceně vytvoření a zapravení prostupu, tvarovky pro zajištění napojení a veškeré příslušenství. " </t>
  </si>
  <si>
    <t>9</t>
  </si>
  <si>
    <t>Ostatní konstrukce a práce-bourání</t>
  </si>
  <si>
    <t>Náklady spojené s odvozem a uložením sypaniny</t>
  </si>
  <si>
    <t>99</t>
  </si>
  <si>
    <t>Přesun hmot</t>
  </si>
  <si>
    <t>HZS</t>
  </si>
  <si>
    <t>HZS1291</t>
  </si>
  <si>
    <t>Hodinová zúčtovací sazba pomocný stavební dělník</t>
  </si>
  <si>
    <t>Stavební práce a dodávky spojené s provedením funkčního celku HSV - výpomoce, doplňkové práce a dodávky,kompletace apod.</t>
  </si>
  <si>
    <t>M</t>
  </si>
  <si>
    <t>Práce a dodávky M</t>
  </si>
  <si>
    <t>23-M</t>
  </si>
  <si>
    <t>Montáže potrubí</t>
  </si>
  <si>
    <t>sada</t>
  </si>
  <si>
    <t xml:space="preserve">" Zkouška kanalizace " </t>
  </si>
  <si>
    <t>" Včetně technické prohlídky a utěsnění zkoušeného úseku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</si>
  <si>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</si>
  <si>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</si>
  <si>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</si>
  <si>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</si>
  <si>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</si>
  <si>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</si>
  <si>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</si>
  <si>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Zřízení příložného pažení a rozepření stěn rýh hl do 2 m</t>
  </si>
  <si>
    <t>Svislé přemístění výkopku z horniny tř. 1 až 4 hl výkopu do 2,5 m</t>
  </si>
  <si>
    <t>Tlakové zkoušky těsnosti potrubí - zkouška DN do 200</t>
  </si>
  <si>
    <t>Dočasné zajištění potrubí ocelového nebo litinového DN do 200</t>
  </si>
  <si>
    <t>Hloubení rýh š do 2000 mm v hornině tř. 3 objemu do 100 m3, včetně naložení výkopku</t>
  </si>
  <si>
    <t>Hloubení rýh š do 2000 mm v hornině tř. 4 objemu do 100 m3, včetně naložení výkopku</t>
  </si>
  <si>
    <t>Příplatek za lepivost k hloubení rýh š do 2000 mm v hornině tř. 4</t>
  </si>
  <si>
    <t>Odstranění příložného pažení a rozepření stěn rýh hl do 2 m</t>
  </si>
  <si>
    <t>Plošná úprava terénu do 500 m2 zemina tř 1 až 4 nerovnosti do 150 mm v rovinně a svahu do 1:5</t>
  </si>
  <si>
    <t>Zřízení příložného pažení a rozepření stěn rýh hl do 4 m</t>
  </si>
  <si>
    <t>Odstranění příložného pažení a rozepření stěn rýh hl do 4 m</t>
  </si>
  <si>
    <t>21</t>
  </si>
  <si>
    <t>22</t>
  </si>
  <si>
    <t>871355221 RTO</t>
  </si>
  <si>
    <t>" V ceně veškeré příslušenství, tvarovky,kotvící prvky a spojovací materiál, výměra včetně ztratného. "</t>
  </si>
  <si>
    <t xml:space="preserve">" Výměra včetně ztratného " </t>
  </si>
  <si>
    <t>871999601 SPC</t>
  </si>
  <si>
    <t>871999602 SPC</t>
  </si>
  <si>
    <t xml:space="preserve">" V ceně vytvoření a zapravení prostupu, úprava stávající šachty - výměna poškozených prvků, tvarovky pro zajištění napojení a veškeré příslušenství. " </t>
  </si>
  <si>
    <t>871999603 SPC</t>
  </si>
  <si>
    <t>871999604 SPC</t>
  </si>
  <si>
    <t>923</t>
  </si>
  <si>
    <t>Tlakové zkoušky těsnosti potrubí - příprava DN do 200</t>
  </si>
  <si>
    <t>978</t>
  </si>
  <si>
    <t>009</t>
  </si>
  <si>
    <t>97899946 SPC</t>
  </si>
  <si>
    <t>" Naložení zeminy "</t>
  </si>
  <si>
    <t>" Odvoz zeminy "</t>
  </si>
  <si>
    <t>" Rozprostření zeminy v místě dovozu "</t>
  </si>
  <si>
    <t>" Poplatek za uložení sypaniny "</t>
  </si>
  <si>
    <t>REKAPITULACE CELKOVÁ</t>
  </si>
  <si>
    <t>Stavba:   Stavební úpravy objektu Gayerových kasáren vč. přístavby, Opletalova 334/2, Hradec Králové</t>
  </si>
  <si>
    <t>Kód</t>
  </si>
  <si>
    <r>
      <t xml:space="preserve">Cena celkem                     </t>
    </r>
    <r>
      <rPr>
        <sz val="8"/>
        <rFont val="Arial CE"/>
        <family val="2"/>
        <charset val="238"/>
      </rPr>
      <t xml:space="preserve">                            </t>
    </r>
  </si>
  <si>
    <t>AREÁLOVÁ DEŠŤOVÁ KANALIZACE</t>
  </si>
  <si>
    <t>AREÁLOVÁ SPLAŠKOVÁ KANALIZACE</t>
  </si>
  <si>
    <t>Objekt:   AREÁLOVÁ DEŠŤOVÁ KANALIZACE</t>
  </si>
  <si>
    <t>JKSO: 827.21.A2.1.2</t>
  </si>
  <si>
    <t>Sejmutí ornice s přemístěním na vzdálenost do 250 m</t>
  </si>
  <si>
    <t>Uložení sypaniny do násypů nezhutněných</t>
  </si>
  <si>
    <t xml:space="preserve">" Uložení ornice na mezideponii " </t>
  </si>
  <si>
    <t>" Sejmutí ornice mimo řešené území. " 13,8*1,1*0,150</t>
  </si>
  <si>
    <t>97899940 SPC</t>
  </si>
  <si>
    <t>Náklady spojené s dovozem sypaniny z meziskládky pro zpětné použití</t>
  </si>
  <si>
    <t xml:space="preserve">" V položce zahrnuto naložení, dovoz ornice z meziskládky a její složení "  </t>
  </si>
  <si>
    <t>" Naložení ulehlé zeminy z meziskládky "</t>
  </si>
  <si>
    <t>" Doprava zeminy z mezidkládky do vzdálenosti 500 m "</t>
  </si>
  <si>
    <t xml:space="preserve">" Složení zeminy " </t>
  </si>
  <si>
    <t xml:space="preserve">" Zpětné přemístění sejmuté ornice po realizaci kanalizace. " </t>
  </si>
  <si>
    <t>Rozprostření ornice tl vrstvy do 150 mm pl do 500 m2 v rovině nebo ve svahu do 1:5</t>
  </si>
  <si>
    <t xml:space="preserve">" Zpětné rozprostření sejmuté ornice pro obnovu stávajícího trávníku - doplnění ornice 30% z celkové plochy. " </t>
  </si>
  <si>
    <t>" Zpětné rozprostření sejmuté ornice po realizaci kanalizace "  13,8*1,1</t>
  </si>
  <si>
    <t>181411132 RTO</t>
  </si>
  <si>
    <t>D+M Založení parkového trávníku výsevem v rovině a ve svahu do 1:5 včetně zálivky - Specifikace dle PD</t>
  </si>
  <si>
    <t xml:space="preserve">" Cena včetně výsevu v rovině a ve svahu, travního semene, odstranění kamene, hnojení, hnojiva. Včetně aplikace přípravků pro podporu zakořenění a vzrůstu." </t>
  </si>
  <si>
    <t>5</t>
  </si>
  <si>
    <t xml:space="preserve">Obdělání půdy frézováním v rovině a svahu do 1:5 </t>
  </si>
  <si>
    <t>231</t>
  </si>
  <si>
    <t>Obdělání půdy vláčením v rovině a svahu do 1:5</t>
  </si>
  <si>
    <t xml:space="preserve">Obdělání půdy hrabáním v rovině a svahu do 1:5 </t>
  </si>
  <si>
    <t>Obdělání půdy válením v rovině a svahu do 1:5</t>
  </si>
  <si>
    <t>" Příprava zeminy před výsevem nového trávníku. - 2x  " 15,18*2</t>
  </si>
  <si>
    <t xml:space="preserve">" Příprava zeminy před výsevem nového trávníku. - 1x  " </t>
  </si>
  <si>
    <t>Chemické odplevelení před založením kultury nad 20 m2 postřikem na široko v rovině a svahu do 1:5</t>
  </si>
  <si>
    <t>Ošetření trávníku shrabáním v rovině a ve svahu do 1:5</t>
  </si>
  <si>
    <t xml:space="preserve">" Dvojnásobné odplevelení před realizací sadových úprav. " </t>
  </si>
  <si>
    <t xml:space="preserve">" Ošetření trávníku "  </t>
  </si>
  <si>
    <t>" Úprava ploch před realizací zatravnění "</t>
  </si>
  <si>
    <t>D+M Potrubí z trubek PP DN 200 SN 8 - Specifikace dle PD</t>
  </si>
  <si>
    <t>D+M Napojení potrubí kanalizace na stávající šachtu - Specifikace dle PD</t>
  </si>
  <si>
    <t>871999605 SPC</t>
  </si>
  <si>
    <t>849999101 SPC</t>
  </si>
  <si>
    <t>soubor</t>
  </si>
  <si>
    <t>" Přesun hmot v ceně "</t>
  </si>
  <si>
    <t>23</t>
  </si>
  <si>
    <t>24</t>
  </si>
  <si>
    <t>25</t>
  </si>
  <si>
    <t>26</t>
  </si>
  <si>
    <t>27</t>
  </si>
  <si>
    <t>28</t>
  </si>
  <si>
    <t>29</t>
  </si>
  <si>
    <t>40a</t>
  </si>
  <si>
    <t>40b</t>
  </si>
  <si>
    <t>40c</t>
  </si>
  <si>
    <t>Objekt:   AREÁLOVÁ SPLAŠKOVÁ KANALIZACE</t>
  </si>
  <si>
    <t>" Hloubení rýhy pro šachty Š1-Š4 - 50 % z celkové kubatury " 2,0*2,0*2,5*4*0,50</t>
  </si>
  <si>
    <t>" Pažení rýhy pro šachty Š1-Š4 "  (2,0*2,5*4)*4*0,8</t>
  </si>
  <si>
    <t>" Lože z písku pod šachty a vpusti kanalizace - tl. 150 mm " 2,0*2,0*0,150*4</t>
  </si>
  <si>
    <t>" Obsyp potrubí štěrkodrtí " 10,13*2,0</t>
  </si>
  <si>
    <t>" Zásyp kanalizačních šachet štěrkem - Š2-Š8 " (20,0+20,0)-2,0*2,0*0,15*4-1,963*4</t>
  </si>
  <si>
    <t>" Zásyp potrubí kanalizačních šachet štěrkem " 29,75*2,0</t>
  </si>
  <si>
    <t>871999102 SPC</t>
  </si>
  <si>
    <t>D+M Chránička potrubí - Specifikace dle PD</t>
  </si>
  <si>
    <t xml:space="preserve">D+M Prostup potrubí budovou - Specifikace dle PD </t>
  </si>
  <si>
    <t>" V ceně kotvení chráničky, vytvoření a zapravení prostupů, systémové utěsnění prostupu, napojení na svislou hydroizolaci. "</t>
  </si>
  <si>
    <t>CS ÚRS 2018 01</t>
  </si>
  <si>
    <t xml:space="preserve">CS ÚRS/TEO 2018 01 </t>
  </si>
  <si>
    <t>16</t>
  </si>
  <si>
    <t>" Hrubé terénní úpravy v místě dovozu "</t>
  </si>
  <si>
    <t>Část:   C.5. PŘELOŽKY AREÁLOVÉ KANALIZACE</t>
  </si>
  <si>
    <t>" Pažení rýh - 80 % "</t>
  </si>
  <si>
    <t>Lože pod potrubí otevřený výkop z písku a štěrkopísku</t>
  </si>
  <si>
    <t>D+M Potrubí z trubek PP DN 160 SN 8 - Specifikace dle PD</t>
  </si>
  <si>
    <t>" Vpusť s odkalovacím košem a klapkou proti pronikání zápachu. V ceně pojezdová mříž, vystrojení a veškeré příslušenství vpusti + příslušenství nutné pro napojení "</t>
  </si>
  <si>
    <t>271</t>
  </si>
  <si>
    <t>998276101 RTO</t>
  </si>
  <si>
    <t>Přesun hmot pro trubní vedení z trub z plastických hmot otevřený výkop</t>
  </si>
  <si>
    <t>CS ÚRS/TEO 2018 01</t>
  </si>
  <si>
    <t xml:space="preserve">D+M Retenční nádrž, objem 68,9 m3 - Specifikace dle PD </t>
  </si>
  <si>
    <t>" Hloubení rýhy pro splaškovou kanalizaci - 50 % z celkové kubatury " (2,0+3,1+16,6+9,1)*1,1*2,3*0,50</t>
  </si>
  <si>
    <t>" Příplatek - 10 % " (58,96+58,96)*0,1</t>
  </si>
  <si>
    <t>" Lepivost - 50 % "  58,96*0,5</t>
  </si>
  <si>
    <t>" Lepivost 50 - % "  58,96*0,5</t>
  </si>
  <si>
    <t>" Pažení rýhy pro potrubí, 80 % "  (2,0+3,1+16,6+9,1)*2,3*2*0,8</t>
  </si>
  <si>
    <t>" Svislé přemístění výkopku z hloubení rýh - 100 % " 58,96+58,96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</si>
  <si>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58,96+58,96</t>
  </si>
  <si>
    <t>" Zásyp potrubí dešťové kanalizace štěrkem " (2,0+3,1+16,6+9,1)*1,1*(2,3-0,150-0,300)</t>
  </si>
  <si>
    <t>" Zásyp potrubí kanalizačního potrubí štěrkem " 62,68*2,0</t>
  </si>
  <si>
    <t>" Obsyp potrubí štěrkodrtí  - tl. 300 mm " (2,0+3,1+16,6+9,1)*1,1*0,300</t>
  </si>
  <si>
    <t>" Lože z písku pod potrubí kanalizace - tl. 150 mm " (2,0+3,1+16,6+9,1)*1,1*0,150</t>
  </si>
  <si>
    <t>" Potrubí PP " (2,0+3,1+16,6+9,1)*1,1</t>
  </si>
  <si>
    <t>" V ceně nasunutí potrubí do chráničky, chránička, uzavírací manžety. " (11,3+7,8)*1,1</t>
  </si>
  <si>
    <t>D+M Napojení nového potrubí kanalizace na revizní šachty - Specifikace dle PD</t>
  </si>
  <si>
    <t>D+M Napojení stávajícího potrubí kanalizace na revizní šachty - Specifikace dle PD</t>
  </si>
  <si>
    <t>" Zkouška kanalizace " 2,0+3,1+16,6+9,1</t>
  </si>
  <si>
    <t>25a</t>
  </si>
  <si>
    <t>25b</t>
  </si>
  <si>
    <t>25c</t>
  </si>
  <si>
    <t>25d</t>
  </si>
  <si>
    <t>25e</t>
  </si>
  <si>
    <t>41a</t>
  </si>
  <si>
    <t>41b</t>
  </si>
  <si>
    <t>41c</t>
  </si>
  <si>
    <t>41d</t>
  </si>
  <si>
    <t>41e</t>
  </si>
  <si>
    <t>42</t>
  </si>
  <si>
    <t>871315221 RTO</t>
  </si>
  <si>
    <t>C.5. PŘELOŽKY AREÁLOVÉ KANALIZACE - CELKEM</t>
  </si>
  <si>
    <t>VÝKAZ VÝMĚR</t>
  </si>
  <si>
    <t>" V ceně : Zasakovací bloky, boční stěny, krytky, vstupní adaptéry, speciální systémové spojovací prvky - konektory (horizontální, vertikální), a veškeré příslušenství zasakovacího zařízení pro zajištění funkčnosti celku. V ceně šachtové portály včetně poklopu. "</t>
  </si>
  <si>
    <t>" Součástí štěrkopískové lože tl. 100mm, podkladní beton tl. 100mm. Obalení retenční nádrže geotextílií, hydroizolační PVC fólií a druhou vrstvou geotextílie. "</t>
  </si>
  <si>
    <t>" - V ceně výkopové práce, manipulace s výkopkem a jeho odvoz, zhutnění plochy pod retenční nádrží, zřízení pažení a jeho odstranění, zásyp kolem retenční nádrže kamenivem fr. 8/16, napojení kanalizačního potrubí na nádrž. "</t>
  </si>
  <si>
    <t>21a</t>
  </si>
  <si>
    <t>8719996012 SPC</t>
  </si>
  <si>
    <t>D+M Revizní šachta splaškové kanalizace z polypropylenu - DN 1000 - Specifikace dle PD - Š2</t>
  </si>
  <si>
    <r>
      <t xml:space="preserve">D+M Revizní šachta splaškové kanalizace z polypropylenu - DN 1000 - Specifikace dle PD                             </t>
    </r>
    <r>
      <rPr>
        <sz val="8"/>
        <color rgb="FFFF0000"/>
        <rFont val="Arial CE"/>
        <family val="2"/>
        <charset val="238"/>
      </rPr>
      <t>- Š1, Š3 a Š4</t>
    </r>
  </si>
  <si>
    <t>" Šachta kruhová z polypropylenu DN 1 000 mm, systémové šachtové dno, šachtové skruže, konus a betonový prstenec. V ceně litinový poklop kruhový D 400, veškeré příslušenství a vystrojení šachty, držáky armatur, pomocné konstrukce. "</t>
  </si>
  <si>
    <t>" Šachta kruhová z polypropylenu DN 1 000 mm, systémové šachtové dno, šachtové skruže, konus a betonový prstenec. V ceně poklop pro zadláždění - pachotěsný, hliníkový 600x600mm, rám pro přechod na šachtu, těsnění, veškeré příslušenství a vystrojení šachty, držáky armatur, pomocné konstrukce. "</t>
  </si>
  <si>
    <t>D+M Venkovní vpusti vč. napojení - Specifikace dle PD - UV1</t>
  </si>
  <si>
    <t>" Hloubení rýhy pro dešťovou kanalizaci - úsek Š1 - RN - 50 % z celkové kubatury " (14,8)*1,1*3,1*0,50</t>
  </si>
  <si>
    <t>" Hloubení rýhy pro dešťovou kanalizaci - úsek Š3 - Š4 - 50 % z celkové kubatury " (12,6)*1,1*1,95*0,50</t>
  </si>
  <si>
    <t>" Hloubení rýhy pro dešťovou kanalizaci - úsek Š4 - Š5 - 50 % z celkové kubatury " (13,6)*1,1*1,80*0,50</t>
  </si>
  <si>
    <t>" Hloubení rýhy pro dešťovou kanalizaci - úsek Š5 - Š6 - 50 % z celkové kubatury " (23,3)*1,1*1,70*0,50</t>
  </si>
  <si>
    <t>" Hloubení rýhy pro dešťovou kanalizaci - úsek Š3-4 - Š7 - 50 % z celkové kubatury " (15,9)*1,1*1,95*0,50</t>
  </si>
  <si>
    <t>" Hloubení rýhy pro dešťovou kanalizaci - úsek Š7 - Š8 - 50 % z celkové kubatury " (12,4)*1,1*1,90*0,50</t>
  </si>
  <si>
    <t>" Hloubení rýhy pro dešťovou kanalizaci - úsek Š7 - UV1 - 50 % z celkové kubatury " (7,4)*1,1*1,90*0,50</t>
  </si>
  <si>
    <t>" Hloubení rýhy pro dešťovou kanalizaci - úsek Š5 - objekt - 50 % z celkové kubatury " (3,7)*1,1*1,75*0,50</t>
  </si>
  <si>
    <t>" Hloubení rýhy pro dešťovou kanalizaci - úsek Š3-7 - objekt - 50 % z celkové kubatury " (9)*1,1*1,95*0,50</t>
  </si>
  <si>
    <t>" Hloubení rýhy pro šachtu Š2 - 50 % z celkové kubatury " 2,0*2,0*3,05*0,50</t>
  </si>
  <si>
    <t>" Hloubení rýhy pro šachtu Š3 - 50 % z celkové kubatury " 2,0*2,0*2,05*0,50</t>
  </si>
  <si>
    <t>" Hloubení rýhy pro šachtu Š4 - 50 % z celkové kubatury " 2,0*2,0*1,85*0,50</t>
  </si>
  <si>
    <t>" Hloubení rýhy pro šachtu Š5 - 50 % z celkové kubatury " 2,0*2,0*1,75*0,50</t>
  </si>
  <si>
    <t>" Hloubení rýhy pro šachtu Š6 - 50 % z celkové kubatury " 2,0*2,0*1,65*0,50</t>
  </si>
  <si>
    <t>38a</t>
  </si>
  <si>
    <t>8719996051 SPC</t>
  </si>
  <si>
    <t>D+M Pročištění stávající kanalizace  - Specifikace dle PD</t>
  </si>
  <si>
    <t>Hloubení rýh š do 2000 mm v hornině tř. 3 objemu do 1000 m3, včetně naložení výkopku</t>
  </si>
  <si>
    <t>Hloubení rýh š do 2000 mm v hornině tř. 4 objemu do 1000 m3, včetně naložení výkopku</t>
  </si>
  <si>
    <t>" Pažení rýhy pro dešťovou kanalizaci - úsek Š3 - Š4 - 80 % " (12,6)*1,95*2*0,80</t>
  </si>
  <si>
    <t>" Pažení rýhy pro dešťovou kanalizaci - úsek Š4 - Š5 - 80 % " (13,6)*1,80*2*0,80</t>
  </si>
  <si>
    <t>" Pažení rýhy pro dešťovou kanalizaci - úsek Š5 - Š6 - 80 % " (23,3)*1,70*2*0,80</t>
  </si>
  <si>
    <t>" Pažení rýhy pro dešťovou kanalizaci - úsek Š3-4 - Š7 - 80 % " (15,9)*1,95*2*0,80</t>
  </si>
  <si>
    <t>" Pažení rýhy pro dešťovou kanalizaci - úsek Š7 - Š8 - 80 % " (12,4)*1,90*2*0,80</t>
  </si>
  <si>
    <t>" Pažení rýhy pro dešťovou kanalizaci - úsek Š7 - UV1 - 80 % " (7,4)*1,90*2*0,80</t>
  </si>
  <si>
    <t>" Pažení rýhy pro dešťovou kanalizaci - úsek Š5 - objekt - 80 % " (3,7)*1,75*2*0,80</t>
  </si>
  <si>
    <t>" Pažení rýhy pro dešťovou kanalizaci - úsek Š3-7 - objekt - 80 % " (9)*1,95*2*0,80</t>
  </si>
  <si>
    <t>" Pažení rýhy pro šachtu Š4 - 80 % " 2,0*1,85*4*0,80</t>
  </si>
  <si>
    <t>" Pažení rýhy pro šachtu Š5 - 80 % " 2,0*1,75*4*0,80</t>
  </si>
  <si>
    <t>" Pažení rýhy pro šachtu Š6 - 80 % " 2,0*1,65*4*0,80</t>
  </si>
  <si>
    <t>" Hloubení rýhy pro šachty Š7, Š8 - 50 % z celkové kubatury " (2,0*2,0*1,90*0,50)*2</t>
  </si>
  <si>
    <t>" Pažení rýhy pro šachty Š7, Š8 - 80 % " 2,0*1,90*4*2*0,80</t>
  </si>
  <si>
    <t>" Pažení rýhy pro dešťovou kanalizaci - úsek Š1 - RN - 80 % " (14,8)*3,1*2*0,80</t>
  </si>
  <si>
    <t>" Pažení rýhy pro šachtu Š2 - 80 % " 2,0*3,05*4*0,80</t>
  </si>
  <si>
    <t>" Pažení rýhy pro šachtu Š3 - 80 % " 2,0*2,05*4*0,80</t>
  </si>
  <si>
    <t>" Lože z písku pro dešťovou kanalizaci - úsek Š1 - RN - 150 mm " (14,8)*1,1*0,150</t>
  </si>
  <si>
    <t>" Lože z písku pro dešťovou kanalizaci - úsek Š3 - Š4 - 150 mm " (12,6)*1,1*0,150</t>
  </si>
  <si>
    <t>" Lože z písku pro dešťovou kanalizaci - úsek Š4 - Š5 - 150 mm " (13,6)*1,1*0,150</t>
  </si>
  <si>
    <t>" Lože z písku pro dešťovou kanalizaci - úsek Š5 - Š6 - 150 mm " (23,3)*1,1*0,150</t>
  </si>
  <si>
    <t>" Lože z písku pro dešťovou kanalizaci - úsek Š3-4 - Š7 - 150 mm " (15,9)*1,1*0,150</t>
  </si>
  <si>
    <t>" Lože z písku pro dešťovou kanalizaci - úsek Š7 - Š8 - 150 mm " (12,4)*1,1*0,150</t>
  </si>
  <si>
    <t>" Lože z písku pro dešťovou kanalizaci - úsek Š7 - UV1 - 150 mm " (7,4)*1,1*0,150</t>
  </si>
  <si>
    <t>" Lože z písku pro dešťovou kanalizaci - úsek Š5 - objekt - 150 mm " (3,7)*1,1*0,150</t>
  </si>
  <si>
    <t>" Lože z písku pro dešťovou kanalizaci - úsek Š3-7 - objekt - 150 mm " (9)*1,1*0,150</t>
  </si>
  <si>
    <t>" Lože z písku pro šachtu Š2 - 150 mm " 2,0*2,0*0,150</t>
  </si>
  <si>
    <t>" Lože z písku pro šachtu Š3 - 150 mm " 2,0*2,0*0,150</t>
  </si>
  <si>
    <t>" Lože z písku pro šachtu Š4 - 150 mm " 2,0*2,0*0,150</t>
  </si>
  <si>
    <t>" Lože z písku pro šachtu Š5 - 150 mm " 2,0*2,0*0,150</t>
  </si>
  <si>
    <t>" Lože z písku pro šachtu Š6 - 150 mm " 2,0*2,0*0,150</t>
  </si>
  <si>
    <t>" Lože z písku pro šachty Š7, Š8 - 150 mm " (2,0*2,0*0,150)*2</t>
  </si>
  <si>
    <t>" Lože z písku pro vpusti UV1- 150 mm " 2,0*2,0*0,150</t>
  </si>
  <si>
    <t>" Obsyp potrubí pro dešťovou kanalizaci - úsek Š1 - RN - 300 mm " (14,8)*1,1*0,300</t>
  </si>
  <si>
    <t>" Obsyp potrubí pro dešťovou kanalizaci - úsek Š3 - Š4 - 300 mm " (12,6)*1,1*0,300</t>
  </si>
  <si>
    <t>" Obsyp potrubí pro dešťovou kanalizaci - úsek Š4 - Š5 - 300 mm " (13,6)*1,1*0,300</t>
  </si>
  <si>
    <t>" Obsyp potrubí pro dešťovou kanalizaci - úsek Š5 - Š6 - 300 mm " (23,3)*1,1*0,300</t>
  </si>
  <si>
    <t>" Obsyp potrubí pro dešťovou kanalizaci - úsek Š3-4 - Š7 - 300 mm " (15,9)*1,1*0,300</t>
  </si>
  <si>
    <t>" Obsyp potrubí pro dešťovou kanalizaci - úsek Š7 - Š8 - 300 mm " (12,4)*1,1*0,300</t>
  </si>
  <si>
    <t>" Obsyp potrubí pro dešťovou kanalizaci - úsek Š7 - UV1 - 300 mm " (7,4)*1,1*0,300</t>
  </si>
  <si>
    <t>" Obsyp potrubí pro dešťovou kanalizaci - úsek Š5 - objekt - 300 mm " (3,7)*1,1*0,300</t>
  </si>
  <si>
    <t>" Obsyp potrubí pro dešťovou kanalizaci - úsek Š3-7 - objekt - 300 mm " (9)*1,1*0,300</t>
  </si>
  <si>
    <t>" Obsyp potrubí štěrkodrtí " 37,19*2,0</t>
  </si>
  <si>
    <t>" Zásyp potrubí pro dešťovou kanalizaci - úsek Š1 - RN " (14,8)*1,1*(3,1-0,300-0,150)</t>
  </si>
  <si>
    <t>" Zásyp potrubí pro dešťovou kanalizaci - úsek Š3 - Š4 " (12,6)*1,1*(1,95-0,300-0,150)</t>
  </si>
  <si>
    <t>" Zásyp potrubí pro dešťovou kanalizaci - úsek Š4 - Š5 " (13,6)*1,1*(1,80-0,300-0,150)</t>
  </si>
  <si>
    <t>" Zásyp potrubí pro dešťovou kanalizaci - úsek Š5 - Š6 " (23,3)*1,1*(1,70-0,300-0,150)</t>
  </si>
  <si>
    <t>" Zásyp potrubí pro dešťovou kanalizaci - úsek Š3-4 - Š7 " (15,9)*1,1*(1,95-0,300-0,150)</t>
  </si>
  <si>
    <t>" Zásyp potrubí pro dešťovou kanalizaci - úsek Š7 - Š8 " (12,4)*1,1*(1,90-0,300-0,150)</t>
  </si>
  <si>
    <t>" Zásyp potrubí pro dešťovou kanalizaci - úsek Š7 - UV1 " (7,4)*1,1*(1,90-0,300-0,150)</t>
  </si>
  <si>
    <t>" Zásyp potrubí pro dešťovou kanalizaci - úsek Š5 - objekt  " (3,7)*1,1*(1,75-0,300-0,150)</t>
  </si>
  <si>
    <t>" Zásyp potrubí pro dešťovou kanalizaci - úsek Š3-7 - objekt " (9)*1,1*(1,95-0,300-0,150)</t>
  </si>
  <si>
    <t>" Zásyp kanalizační šachty Š2 " 2,0*2,0*(3,05-0,150)-2,278</t>
  </si>
  <si>
    <t>" Zásyp kanalizační šachty Š3 " 2,0*2,0*(2,05-0,150)-1,492</t>
  </si>
  <si>
    <t>" Zásyp kanalizační šachty Š4 " 2,0*2,0*(1,85-0,150)-1,335</t>
  </si>
  <si>
    <t>" Zásyp kanalizační šachty Š5 " 2,0*2,0*(1,75-0,150)-1,257</t>
  </si>
  <si>
    <t>" Zásyp kanalizační šachty Š6 " 2,0*2,0*(1,65-0,150)-1,178</t>
  </si>
  <si>
    <t>" Zásyp kanalizačních  šachet Š7, Š8 " (2,0*2,0*(1,90-0,15)-1,374)*2</t>
  </si>
  <si>
    <t>" Zásyp potrubí kanalizačního potrubí štěrkem " 194,12*2,0</t>
  </si>
  <si>
    <t>" Hloubení rýhy pro vpusti UV1- 50 % z celkové kubatury " 2,0*2,0*1,90*0,50</t>
  </si>
  <si>
    <t>" Příplatek - 10 % " (157,05+157,05)*0,1</t>
  </si>
  <si>
    <t>" Lepivost - 50 % "  157,05*0,5</t>
  </si>
  <si>
    <t>" Pažení rýhy pro vpusti UV1- 80 % " 2,0*1,90*4*0,80</t>
  </si>
  <si>
    <t>" Zásyp kanalizační vpusti UV1" 2,0*2,0*(1,90-0,150)-0,270</t>
  </si>
  <si>
    <t>" Zásyp potrubí kanalizačních šachet a vpustí štěrkem " (42,11+6,73)*2,0</t>
  </si>
  <si>
    <t>" Potrubí PP " (7,4+9+3,7)*1,1</t>
  </si>
  <si>
    <t>" Potrubí PP " (12,4+15,9+12,6+14,8+13,6+23,3)*1,1</t>
  </si>
  <si>
    <t>D+M Napojení potrubí kanalizace na kanalizační šachty - Specifikace dle PD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</si>
  <si>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157,05+157,05</t>
  </si>
  <si>
    <t>34a</t>
  </si>
  <si>
    <t>8719996011 SPC</t>
  </si>
  <si>
    <t>D+M Revizní šachta splaškové kanalizace z polypropylenu - DN 1000 - Specifikace dle PD                             - Š4, Š6</t>
  </si>
  <si>
    <t>34b</t>
  </si>
  <si>
    <r>
      <t xml:space="preserve">D+M Revizní šachta splaškové kanalizace z polypropylenu - DN 1000 - Specifikace dle PD                             - </t>
    </r>
    <r>
      <rPr>
        <sz val="8"/>
        <color rgb="FFFF0000"/>
        <rFont val="Arial CE"/>
        <family val="2"/>
        <charset val="238"/>
      </rPr>
      <t>Š2, Š3, Š7, Š8</t>
    </r>
  </si>
  <si>
    <t>D+M Revizní šachta splaškové kanalizace z polypropylenu - DN 1000 - spádiště - Specifikace dle PD - Š5</t>
  </si>
  <si>
    <t>" Zkouška kanalizace " (7,4+9+3,7)+(12,4+15,9+12,6+14,8+13,6+23,3)</t>
  </si>
  <si>
    <t>" Výměra včetně ztratného " 22,11+101,86</t>
  </si>
  <si>
    <t>39a</t>
  </si>
  <si>
    <t>8499991011 SPC</t>
  </si>
  <si>
    <t>" V ceně rozšíření/provedení otvoru skrze bastion pro demontáž stávajícího potrubí - šetrné rozebrání, vývrt, dočasné podepření stávajícího zdiva bastionu při provádění prací, úprava konstrukce bastionu po provedení prací - zpětné dozdění vybouraného otvoru a následné zapravení prostupu skrze bastion - utěsnění, a další potřebné práce a materiál nutný pro šetrné provedení potrubí skrze bastion.  "</t>
  </si>
  <si>
    <t>" V ceně také případný přesun hmot a suti. "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</si>
  <si>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 " </t>
  </si>
  <si>
    <t xml:space="preserve">D+M Provedení/rozšíření otvoru v bastionu postupným rozebráním/vybouráním pro demontáž stávajícího potrubí kanalizace vč. následného zapravení po osazení nového potrubí - Specifikace dle PD </t>
  </si>
  <si>
    <t>15a</t>
  </si>
  <si>
    <t>Svislé přemístění výkopku z horniny tř. 1 až 4 hl výkopu do 4 m</t>
  </si>
  <si>
    <t>" Svislé přemístění výkopku z hloubení rýh - 100 % " 125,72+125,72</t>
  </si>
  <si>
    <t>" Svislé přemístění výkopku z hloubení rýh - 100 % " 31,33+31,33</t>
  </si>
  <si>
    <r>
      <t xml:space="preserve">" V ceně zálivka trávníku, </t>
    </r>
    <r>
      <rPr>
        <sz val="8"/>
        <color rgb="FFFF0000"/>
        <rFont val="Arial CE"/>
        <family val="2"/>
        <charset val="238"/>
      </rPr>
      <t>přesun hmot.</t>
    </r>
    <r>
      <rPr>
        <sz val="8"/>
        <color indexed="12"/>
        <rFont val="Arial CE"/>
        <family val="2"/>
        <charset val="238"/>
      </rPr>
      <t xml:space="preserve"> " </t>
    </r>
  </si>
  <si>
    <t>" Šachta kruhová z polypropylenu DN 1 000 mm, systémové šachtové dno, šachtové skruže, konus a betonový prstenec. V ceně litinový poklop kruhový D 400, veškeré příslušenství a vystrojení šachty, držáky armatur, pomocné konstrukce, včetně případného vyříznutí otvoru pro napojení potrubí ."</t>
  </si>
  <si>
    <t xml:space="preserve">" Pročištění stávající kanalizace. " </t>
  </si>
  <si>
    <t>" Šachta kruhová z polypropylenu DN 1 000 mm, systémové šachtové dno, šachtové skruže, konus a betonový prstenec. V ceně uliční vpusť včetně ochranné mříže pojezdové, veškeré příslušenství a vystrojení šachty, držáky armatur, pomocné konstrukce. "</t>
  </si>
  <si>
    <t xml:space="preserve">" V ceně pročištění tlakovou vodou či motorovou frézou kanalizačního potrubí, které zůstane zachováno. V ceně je zahruta také doprava a práce techniků. V ceně také odvoz odpadu z kanalizace. "  </t>
  </si>
  <si>
    <t xml:space="preserve">" Včetně naložení, svislého a vodorovného přesunu suti - odpadu, odvoz stavební suti - odpadu, likvidace v souladu se zákonem č. 185/2001 Sb., o odpadech dle technologie a místa určené zhotovitelem, včetně poplatků za uložení odpadu " 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</si>
</sst>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38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20"/>
      <name val="MS Sans Serif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</font>
    <font>
      <sz val="8"/>
      <color indexed="54"/>
      <name val="Arial CE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b/>
      <sz val="11"/>
      <color rgb="FFFF0000"/>
      <name val="Arial CE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i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17">
    <xf numFmtId="0" fontId="0" fillId="0" borderId="0"/>
    <xf numFmtId="0" fontId="1" fillId="0" borderId="0" applyAlignment="0">
      <alignment vertical="top" wrapText="1"/>
      <protection locked="0"/>
    </xf>
    <xf numFmtId="0" fontId="20" fillId="0" borderId="0"/>
    <xf numFmtId="0" fontId="22" fillId="0" borderId="0"/>
    <xf numFmtId="0" fontId="28" fillId="0" borderId="0" applyFill="0" applyBorder="0" applyProtection="0"/>
    <xf numFmtId="0" fontId="29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5" fillId="0" borderId="0"/>
    <xf numFmtId="0" fontId="1" fillId="0" borderId="0" applyAlignment="0">
      <alignment vertical="top" wrapText="1"/>
      <protection locked="0"/>
    </xf>
    <xf numFmtId="0" fontId="30" fillId="0" borderId="0"/>
    <xf numFmtId="0" fontId="31" fillId="0" borderId="0" applyFont="0" applyFill="0" applyBorder="0" applyAlignment="0" applyProtection="0"/>
    <xf numFmtId="0" fontId="29" fillId="0" borderId="0"/>
  </cellStyleXfs>
  <cellXfs count="236">
    <xf numFmtId="0" fontId="0" fillId="0" borderId="0" xfId="0"/>
    <xf numFmtId="0" fontId="2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" fillId="0" borderId="0" xfId="1" applyFill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 wrapText="1"/>
    </xf>
    <xf numFmtId="165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Alignment="1" applyProtection="1">
      <alignment horizontal="right"/>
    </xf>
    <xf numFmtId="164" fontId="4" fillId="2" borderId="4" xfId="0" applyNumberFormat="1" applyFont="1" applyFill="1" applyBorder="1" applyAlignment="1" applyProtection="1">
      <alignment horizontal="right"/>
    </xf>
    <xf numFmtId="0" fontId="4" fillId="2" borderId="4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center" wrapText="1"/>
    </xf>
    <xf numFmtId="165" fontId="4" fillId="2" borderId="4" xfId="0" applyNumberFormat="1" applyFont="1" applyFill="1" applyBorder="1" applyAlignment="1" applyProtection="1">
      <alignment horizontal="right"/>
    </xf>
    <xf numFmtId="166" fontId="4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left" vertical="top"/>
    </xf>
    <xf numFmtId="0" fontId="5" fillId="2" borderId="4" xfId="0" applyFont="1" applyFill="1" applyBorder="1" applyAlignment="1" applyProtection="1">
      <alignment horizontal="left" wrapText="1"/>
    </xf>
    <xf numFmtId="166" fontId="5" fillId="2" borderId="4" xfId="0" applyNumberFormat="1" applyFont="1" applyFill="1" applyBorder="1" applyAlignment="1" applyProtection="1">
      <alignment horizontal="center"/>
    </xf>
    <xf numFmtId="164" fontId="5" fillId="2" borderId="4" xfId="0" applyNumberFormat="1" applyFont="1" applyFill="1" applyBorder="1" applyAlignment="1" applyProtection="1">
      <alignment horizontal="right"/>
    </xf>
    <xf numFmtId="2" fontId="4" fillId="2" borderId="4" xfId="0" applyNumberFormat="1" applyFont="1" applyFill="1" applyBorder="1" applyAlignment="1" applyProtection="1">
      <alignment horizontal="right"/>
    </xf>
    <xf numFmtId="166" fontId="13" fillId="2" borderId="4" xfId="0" applyNumberFormat="1" applyFont="1" applyFill="1" applyBorder="1" applyAlignment="1" applyProtection="1">
      <alignment horizontal="right"/>
    </xf>
    <xf numFmtId="164" fontId="19" fillId="0" borderId="0" xfId="0" applyNumberFormat="1" applyFont="1" applyFill="1" applyAlignment="1" applyProtection="1">
      <alignment horizontal="right"/>
    </xf>
    <xf numFmtId="0" fontId="19" fillId="0" borderId="0" xfId="0" applyFont="1" applyFill="1" applyAlignment="1" applyProtection="1">
      <alignment horizontal="left" wrapText="1"/>
    </xf>
    <xf numFmtId="165" fontId="19" fillId="0" borderId="0" xfId="0" applyNumberFormat="1" applyFont="1" applyFill="1" applyAlignment="1" applyProtection="1">
      <alignment horizontal="right"/>
    </xf>
    <xf numFmtId="166" fontId="19" fillId="0" borderId="0" xfId="0" applyNumberFormat="1" applyFont="1" applyFill="1" applyAlignment="1" applyProtection="1">
      <alignment horizontal="right"/>
    </xf>
    <xf numFmtId="164" fontId="5" fillId="0" borderId="5" xfId="0" applyNumberFormat="1" applyFont="1" applyFill="1" applyBorder="1" applyAlignment="1" applyProtection="1">
      <alignment horizontal="right"/>
    </xf>
    <xf numFmtId="0" fontId="5" fillId="0" borderId="5" xfId="0" applyFont="1" applyFill="1" applyBorder="1" applyAlignment="1" applyProtection="1">
      <alignment horizontal="left" wrapText="1"/>
    </xf>
    <xf numFmtId="0" fontId="5" fillId="0" borderId="5" xfId="0" applyFont="1" applyFill="1" applyBorder="1" applyAlignment="1" applyProtection="1">
      <alignment horizontal="center" wrapText="1"/>
    </xf>
    <xf numFmtId="165" fontId="5" fillId="0" borderId="5" xfId="0" applyNumberFormat="1" applyFont="1" applyFill="1" applyBorder="1" applyAlignment="1" applyProtection="1">
      <alignment horizontal="right"/>
    </xf>
    <xf numFmtId="166" fontId="5" fillId="0" borderId="5" xfId="0" applyNumberFormat="1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left"/>
    </xf>
    <xf numFmtId="0" fontId="17" fillId="0" borderId="6" xfId="0" applyFont="1" applyFill="1" applyBorder="1" applyAlignment="1" applyProtection="1">
      <alignment horizontal="center"/>
    </xf>
    <xf numFmtId="165" fontId="17" fillId="0" borderId="6" xfId="0" applyNumberFormat="1" applyFont="1" applyFill="1" applyBorder="1" applyAlignment="1" applyProtection="1">
      <alignment horizontal="right"/>
    </xf>
    <xf numFmtId="166" fontId="5" fillId="0" borderId="6" xfId="0" applyNumberFormat="1" applyFont="1" applyFill="1" applyBorder="1" applyAlignment="1" applyProtection="1">
      <alignment horizontal="right"/>
    </xf>
    <xf numFmtId="166" fontId="4" fillId="0" borderId="1" xfId="0" applyNumberFormat="1" applyFont="1" applyFill="1" applyBorder="1" applyAlignment="1" applyProtection="1">
      <alignment horizontal="right"/>
    </xf>
    <xf numFmtId="166" fontId="15" fillId="0" borderId="0" xfId="0" applyNumberFormat="1" applyFont="1" applyFill="1" applyBorder="1" applyAlignment="1" applyProtection="1">
      <alignment horizontal="center"/>
    </xf>
    <xf numFmtId="164" fontId="17" fillId="0" borderId="0" xfId="0" applyNumberFormat="1" applyFont="1" applyFill="1" applyBorder="1" applyAlignment="1" applyProtection="1">
      <alignment horizontal="right"/>
    </xf>
    <xf numFmtId="0" fontId="17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17" fillId="0" borderId="0" xfId="0" applyFont="1" applyFill="1" applyBorder="1" applyAlignment="1" applyProtection="1">
      <alignment horizontal="center" wrapText="1"/>
    </xf>
    <xf numFmtId="165" fontId="17" fillId="0" borderId="0" xfId="0" applyNumberFormat="1" applyFont="1" applyFill="1" applyBorder="1" applyAlignment="1" applyProtection="1">
      <alignment horizontal="right"/>
    </xf>
    <xf numFmtId="166" fontId="17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right"/>
    </xf>
    <xf numFmtId="0" fontId="21" fillId="0" borderId="0" xfId="2" applyFont="1" applyFill="1" applyAlignment="1" applyProtection="1">
      <alignment vertical="center"/>
    </xf>
    <xf numFmtId="0" fontId="21" fillId="0" borderId="0" xfId="2" applyFont="1" applyFill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center" vertical="center" wrapText="1"/>
    </xf>
    <xf numFmtId="2" fontId="8" fillId="3" borderId="4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left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8" fontId="5" fillId="0" borderId="11" xfId="1" applyNumberFormat="1" applyFont="1" applyFill="1" applyBorder="1" applyAlignment="1" applyProtection="1">
      <alignment horizontal="center" vertical="center"/>
    </xf>
    <xf numFmtId="168" fontId="5" fillId="0" borderId="12" xfId="1" applyNumberFormat="1" applyFont="1" applyFill="1" applyBorder="1" applyAlignment="1" applyProtection="1">
      <alignment horizontal="center" vertical="center"/>
    </xf>
    <xf numFmtId="168" fontId="5" fillId="0" borderId="13" xfId="1" applyNumberFormat="1" applyFont="1" applyFill="1" applyBorder="1" applyAlignment="1" applyProtection="1">
      <alignment horizontal="center" vertical="center"/>
    </xf>
    <xf numFmtId="0" fontId="1" fillId="0" borderId="14" xfId="1" applyFont="1" applyFill="1" applyBorder="1" applyAlignment="1" applyProtection="1">
      <alignment horizontal="left"/>
    </xf>
    <xf numFmtId="0" fontId="1" fillId="0" borderId="15" xfId="1" applyFont="1" applyFill="1" applyBorder="1" applyAlignment="1" applyProtection="1">
      <alignment horizontal="left"/>
    </xf>
    <xf numFmtId="0" fontId="25" fillId="0" borderId="4" xfId="1" applyFont="1" applyBorder="1" applyAlignment="1" applyProtection="1">
      <alignment horizontal="center" vertical="center"/>
    </xf>
    <xf numFmtId="0" fontId="25" fillId="0" borderId="4" xfId="1" applyFont="1" applyBorder="1" applyAlignment="1" applyProtection="1">
      <alignment horizontal="left" vertical="center"/>
    </xf>
    <xf numFmtId="166" fontId="25" fillId="0" borderId="4" xfId="1" applyNumberFormat="1" applyFont="1" applyBorder="1" applyAlignment="1" applyProtection="1">
      <alignment horizontal="right" vertical="center"/>
    </xf>
    <xf numFmtId="0" fontId="26" fillId="0" borderId="4" xfId="1" applyFont="1" applyBorder="1" applyAlignment="1" applyProtection="1">
      <alignment horizontal="left" vertical="center"/>
    </xf>
    <xf numFmtId="0" fontId="27" fillId="0" borderId="4" xfId="1" applyFont="1" applyBorder="1" applyAlignment="1" applyProtection="1">
      <alignment horizontal="left" vertical="center"/>
    </xf>
    <xf numFmtId="166" fontId="27" fillId="0" borderId="4" xfId="1" applyNumberFormat="1" applyFont="1" applyBorder="1" applyAlignment="1" applyProtection="1">
      <alignment horizontal="right" vertical="center"/>
    </xf>
    <xf numFmtId="0" fontId="0" fillId="0" borderId="0" xfId="0" applyAlignment="1" applyProtection="1"/>
    <xf numFmtId="166" fontId="5" fillId="2" borderId="4" xfId="0" applyNumberFormat="1" applyFont="1" applyFill="1" applyBorder="1" applyAlignment="1" applyProtection="1">
      <alignment horizontal="right"/>
      <protection locked="0"/>
    </xf>
    <xf numFmtId="166" fontId="10" fillId="2" borderId="4" xfId="0" applyNumberFormat="1" applyFont="1" applyFill="1" applyBorder="1" applyAlignment="1" applyProtection="1">
      <alignment horizontal="right"/>
      <protection locked="0"/>
    </xf>
    <xf numFmtId="0" fontId="5" fillId="2" borderId="4" xfId="0" applyFont="1" applyFill="1" applyBorder="1" applyAlignment="1" applyProtection="1">
      <alignment horizontal="left" vertical="center" wrapText="1"/>
    </xf>
    <xf numFmtId="2" fontId="5" fillId="2" borderId="4" xfId="0" applyNumberFormat="1" applyFont="1" applyFill="1" applyBorder="1" applyAlignment="1" applyProtection="1">
      <alignment horizontal="right"/>
    </xf>
    <xf numFmtId="166" fontId="5" fillId="2" borderId="4" xfId="0" applyNumberFormat="1" applyFont="1" applyFill="1" applyBorder="1" applyAlignment="1" applyProtection="1">
      <alignment horizontal="right"/>
    </xf>
    <xf numFmtId="164" fontId="8" fillId="2" borderId="4" xfId="0" applyNumberFormat="1" applyFont="1" applyFill="1" applyBorder="1" applyAlignment="1" applyProtection="1">
      <alignment horizontal="right"/>
    </xf>
    <xf numFmtId="0" fontId="8" fillId="2" borderId="4" xfId="0" applyFont="1" applyFill="1" applyBorder="1" applyAlignment="1" applyProtection="1">
      <alignment horizontal="left" wrapText="1"/>
    </xf>
    <xf numFmtId="0" fontId="8" fillId="2" borderId="4" xfId="0" applyFont="1" applyFill="1" applyBorder="1" applyAlignment="1" applyProtection="1">
      <alignment horizontal="left" vertical="center" wrapText="1"/>
    </xf>
    <xf numFmtId="2" fontId="8" fillId="2" borderId="4" xfId="0" applyNumberFormat="1" applyFont="1" applyFill="1" applyBorder="1" applyAlignment="1" applyProtection="1">
      <alignment horizontal="right" vertical="center" wrapText="1"/>
    </xf>
    <xf numFmtId="166" fontId="8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center" vertical="top"/>
    </xf>
    <xf numFmtId="2" fontId="8" fillId="2" borderId="4" xfId="0" applyNumberFormat="1" applyFont="1" applyFill="1" applyBorder="1" applyAlignment="1" applyProtection="1">
      <alignment horizontal="right" wrapText="1"/>
    </xf>
    <xf numFmtId="0" fontId="1" fillId="0" borderId="0" xfId="1" applyAlignment="1" applyProtection="1">
      <alignment vertical="top"/>
    </xf>
    <xf numFmtId="0" fontId="0" fillId="0" borderId="0" xfId="0" applyProtection="1"/>
    <xf numFmtId="2" fontId="5" fillId="2" borderId="4" xfId="0" applyNumberFormat="1" applyFont="1" applyFill="1" applyBorder="1" applyAlignment="1" applyProtection="1">
      <alignment horizontal="right" wrapText="1"/>
    </xf>
    <xf numFmtId="0" fontId="0" fillId="0" borderId="0" xfId="0" applyFill="1" applyProtection="1"/>
    <xf numFmtId="49" fontId="5" fillId="2" borderId="4" xfId="0" applyNumberFormat="1" applyFont="1" applyFill="1" applyBorder="1" applyAlignment="1" applyProtection="1">
      <alignment horizontal="right" wrapText="1"/>
    </xf>
    <xf numFmtId="0" fontId="0" fillId="0" borderId="0" xfId="0" applyAlignment="1" applyProtection="1">
      <alignment horizontal="left" vertical="top"/>
    </xf>
    <xf numFmtId="49" fontId="5" fillId="2" borderId="4" xfId="0" applyNumberFormat="1" applyFont="1" applyFill="1" applyBorder="1" applyAlignment="1" applyProtection="1">
      <alignment horizontal="left" wrapText="1"/>
    </xf>
    <xf numFmtId="2" fontId="8" fillId="2" borderId="4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top"/>
    </xf>
    <xf numFmtId="164" fontId="10" fillId="2" borderId="4" xfId="0" applyNumberFormat="1" applyFont="1" applyFill="1" applyBorder="1" applyAlignment="1" applyProtection="1">
      <alignment horizontal="right"/>
    </xf>
    <xf numFmtId="0" fontId="10" fillId="2" borderId="4" xfId="0" applyFont="1" applyFill="1" applyBorder="1" applyAlignment="1" applyProtection="1">
      <alignment horizontal="left" wrapText="1"/>
    </xf>
    <xf numFmtId="2" fontId="10" fillId="2" borderId="4" xfId="0" applyNumberFormat="1" applyFont="1" applyFill="1" applyBorder="1" applyAlignment="1" applyProtection="1">
      <alignment horizontal="right"/>
    </xf>
    <xf numFmtId="166" fontId="10" fillId="2" borderId="4" xfId="0" applyNumberFormat="1" applyFont="1" applyFill="1" applyBorder="1" applyAlignment="1" applyProtection="1">
      <alignment horizontal="right"/>
    </xf>
    <xf numFmtId="166" fontId="10" fillId="2" borderId="4" xfId="0" applyNumberFormat="1" applyFont="1" applyFill="1" applyBorder="1" applyAlignment="1" applyProtection="1">
      <alignment horizontal="center"/>
    </xf>
    <xf numFmtId="0" fontId="11" fillId="2" borderId="4" xfId="0" applyFont="1" applyFill="1" applyBorder="1" applyAlignment="1" applyProtection="1">
      <alignment horizontal="left" wrapText="1"/>
    </xf>
    <xf numFmtId="2" fontId="11" fillId="2" borderId="4" xfId="0" applyNumberFormat="1" applyFont="1" applyFill="1" applyBorder="1" applyAlignment="1" applyProtection="1">
      <alignment horizontal="right"/>
    </xf>
    <xf numFmtId="166" fontId="11" fillId="2" borderId="4" xfId="0" applyNumberFormat="1" applyFont="1" applyFill="1" applyBorder="1" applyAlignment="1" applyProtection="1">
      <alignment horizontal="right"/>
    </xf>
    <xf numFmtId="0" fontId="34" fillId="0" borderId="0" xfId="0" applyFont="1" applyFill="1" applyAlignment="1" applyProtection="1">
      <alignment horizontal="left" vertical="center"/>
    </xf>
    <xf numFmtId="0" fontId="33" fillId="0" borderId="0" xfId="0" applyFont="1" applyFill="1" applyAlignment="1" applyProtection="1">
      <alignment horizontal="right" vertical="top"/>
    </xf>
    <xf numFmtId="0" fontId="1" fillId="0" borderId="0" xfId="0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2" fontId="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center"/>
    </xf>
    <xf numFmtId="0" fontId="17" fillId="2" borderId="4" xfId="0" applyFont="1" applyFill="1" applyBorder="1" applyAlignment="1" applyProtection="1">
      <alignment horizontal="left" vertical="center" wrapText="1"/>
    </xf>
    <xf numFmtId="166" fontId="17" fillId="2" borderId="4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wrapText="1"/>
    </xf>
    <xf numFmtId="2" fontId="5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lef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Alignment="1" applyProtection="1">
      <alignment horizontal="right" vertical="center"/>
    </xf>
    <xf numFmtId="0" fontId="32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2" fontId="10" fillId="0" borderId="0" xfId="0" applyNumberFormat="1" applyFont="1" applyFill="1" applyBorder="1" applyAlignment="1" applyProtection="1">
      <alignment horizontal="right" vertical="center"/>
    </xf>
    <xf numFmtId="166" fontId="10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top"/>
    </xf>
    <xf numFmtId="164" fontId="10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horizontal="left" wrapText="1"/>
    </xf>
    <xf numFmtId="2" fontId="10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left" vertical="top"/>
    </xf>
    <xf numFmtId="0" fontId="24" fillId="0" borderId="0" xfId="0" applyFont="1" applyProtection="1"/>
    <xf numFmtId="2" fontId="24" fillId="0" borderId="0" xfId="0" applyNumberFormat="1" applyFont="1" applyProtection="1"/>
    <xf numFmtId="0" fontId="8" fillId="0" borderId="0" xfId="0" applyFont="1" applyFill="1" applyBorder="1" applyAlignment="1" applyProtection="1">
      <alignment horizontal="left" wrapText="1"/>
    </xf>
    <xf numFmtId="2" fontId="8" fillId="0" borderId="0" xfId="0" applyNumberFormat="1" applyFont="1" applyFill="1" applyBorder="1" applyAlignment="1" applyProtection="1">
      <alignment horizontal="right"/>
    </xf>
    <xf numFmtId="0" fontId="0" fillId="0" borderId="0" xfId="0" applyFill="1" applyBorder="1" applyProtection="1"/>
    <xf numFmtId="2" fontId="5" fillId="2" borderId="4" xfId="0" applyNumberFormat="1" applyFont="1" applyFill="1" applyBorder="1" applyAlignment="1" applyProtection="1"/>
    <xf numFmtId="2" fontId="9" fillId="2" borderId="4" xfId="0" applyNumberFormat="1" applyFont="1" applyFill="1" applyBorder="1" applyAlignment="1" applyProtection="1">
      <alignment horizontal="right"/>
    </xf>
    <xf numFmtId="0" fontId="36" fillId="0" borderId="0" xfId="0" applyFont="1" applyFill="1" applyAlignment="1" applyProtection="1">
      <alignment vertical="center"/>
    </xf>
    <xf numFmtId="0" fontId="15" fillId="2" borderId="4" xfId="0" applyFont="1" applyFill="1" applyBorder="1" applyAlignment="1" applyProtection="1">
      <alignment horizontal="left" wrapText="1"/>
    </xf>
    <xf numFmtId="2" fontId="8" fillId="2" borderId="4" xfId="0" applyNumberFormat="1" applyFont="1" applyFill="1" applyBorder="1" applyAlignment="1" applyProtection="1"/>
    <xf numFmtId="166" fontId="15" fillId="2" borderId="4" xfId="0" applyNumberFormat="1" applyFont="1" applyFill="1" applyBorder="1" applyAlignment="1" applyProtection="1">
      <alignment horizontal="right"/>
    </xf>
    <xf numFmtId="166" fontId="15" fillId="2" borderId="4" xfId="0" applyNumberFormat="1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left" vertical="top"/>
    </xf>
    <xf numFmtId="2" fontId="14" fillId="2" borderId="4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center"/>
    </xf>
    <xf numFmtId="0" fontId="14" fillId="2" borderId="4" xfId="0" applyFont="1" applyFill="1" applyBorder="1" applyAlignment="1" applyProtection="1">
      <alignment horizontal="left" wrapText="1"/>
    </xf>
    <xf numFmtId="0" fontId="0" fillId="0" borderId="0" xfId="0" applyFont="1" applyAlignment="1" applyProtection="1">
      <alignment horizontal="left" vertical="top"/>
    </xf>
    <xf numFmtId="0" fontId="9" fillId="2" borderId="4" xfId="0" applyFont="1" applyFill="1" applyBorder="1" applyAlignment="1" applyProtection="1">
      <alignment horizontal="left" wrapText="1"/>
    </xf>
    <xf numFmtId="0" fontId="16" fillId="2" borderId="4" xfId="0" applyFont="1" applyFill="1" applyBorder="1" applyAlignment="1" applyProtection="1">
      <alignment horizontal="left" vertical="top"/>
    </xf>
    <xf numFmtId="167" fontId="5" fillId="2" borderId="4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left"/>
    </xf>
    <xf numFmtId="164" fontId="9" fillId="0" borderId="4" xfId="0" applyNumberFormat="1" applyFont="1" applyFill="1" applyBorder="1" applyAlignment="1" applyProtection="1">
      <alignment horizontal="right"/>
    </xf>
    <xf numFmtId="0" fontId="5" fillId="0" borderId="4" xfId="0" applyFont="1" applyFill="1" applyBorder="1" applyAlignment="1" applyProtection="1">
      <alignment horizontal="left" wrapText="1"/>
    </xf>
    <xf numFmtId="0" fontId="8" fillId="0" borderId="4" xfId="0" applyFont="1" applyFill="1" applyBorder="1" applyAlignment="1" applyProtection="1">
      <alignment horizontal="left" wrapText="1"/>
    </xf>
    <xf numFmtId="0" fontId="9" fillId="0" borderId="4" xfId="0" applyFont="1" applyFill="1" applyBorder="1" applyAlignment="1" applyProtection="1">
      <alignment horizontal="left" wrapText="1"/>
    </xf>
    <xf numFmtId="2" fontId="8" fillId="0" borderId="4" xfId="0" applyNumberFormat="1" applyFont="1" applyFill="1" applyBorder="1" applyAlignment="1" applyProtection="1">
      <alignment horizontal="right"/>
    </xf>
    <xf numFmtId="4" fontId="0" fillId="0" borderId="0" xfId="0" applyNumberFormat="1" applyFill="1" applyAlignment="1" applyProtection="1">
      <alignment horizontal="right" vertical="top"/>
    </xf>
    <xf numFmtId="4" fontId="0" fillId="2" borderId="0" xfId="0" applyNumberFormat="1" applyFill="1" applyAlignment="1" applyProtection="1">
      <alignment horizontal="right" vertical="top"/>
    </xf>
    <xf numFmtId="0" fontId="0" fillId="2" borderId="0" xfId="0" applyFill="1" applyAlignment="1" applyProtection="1">
      <alignment horizontal="left" vertical="top"/>
    </xf>
    <xf numFmtId="164" fontId="17" fillId="2" borderId="4" xfId="0" applyNumberFormat="1" applyFont="1" applyFill="1" applyBorder="1" applyAlignment="1" applyProtection="1">
      <alignment horizontal="right"/>
    </xf>
    <xf numFmtId="49" fontId="17" fillId="2" borderId="4" xfId="0" applyNumberFormat="1" applyFont="1" applyFill="1" applyBorder="1" applyAlignment="1" applyProtection="1">
      <alignment horizontal="left" wrapText="1"/>
    </xf>
    <xf numFmtId="0" fontId="17" fillId="2" borderId="4" xfId="0" applyFont="1" applyFill="1" applyBorder="1" applyAlignment="1" applyProtection="1">
      <alignment horizontal="left" wrapText="1"/>
    </xf>
    <xf numFmtId="0" fontId="35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horizontal="right" vertical="top"/>
    </xf>
    <xf numFmtId="0" fontId="0" fillId="2" borderId="0" xfId="0" applyFill="1" applyAlignment="1" applyProtection="1">
      <alignment horizontal="right" vertical="top"/>
    </xf>
    <xf numFmtId="164" fontId="9" fillId="2" borderId="4" xfId="0" applyNumberFormat="1" applyFont="1" applyFill="1" applyBorder="1" applyAlignment="1" applyProtection="1">
      <alignment horizontal="right"/>
    </xf>
    <xf numFmtId="0" fontId="0" fillId="2" borderId="0" xfId="0" applyFill="1" applyAlignment="1" applyProtection="1">
      <alignment vertical="top"/>
    </xf>
    <xf numFmtId="49" fontId="5" fillId="0" borderId="4" xfId="0" applyNumberFormat="1" applyFont="1" applyFill="1" applyBorder="1" applyAlignment="1" applyProtection="1">
      <alignment horizontal="left" wrapText="1"/>
    </xf>
    <xf numFmtId="166" fontId="5" fillId="0" borderId="4" xfId="0" applyNumberFormat="1" applyFont="1" applyFill="1" applyBorder="1" applyAlignment="1" applyProtection="1">
      <alignment horizontal="center"/>
    </xf>
    <xf numFmtId="0" fontId="18" fillId="2" borderId="4" xfId="0" applyFont="1" applyFill="1" applyBorder="1" applyAlignment="1" applyProtection="1">
      <alignment horizontal="left" vertical="top"/>
    </xf>
    <xf numFmtId="0" fontId="0" fillId="2" borderId="0" xfId="0" applyFill="1" applyProtection="1"/>
    <xf numFmtId="0" fontId="24" fillId="2" borderId="0" xfId="0" applyFont="1" applyFill="1" applyProtection="1"/>
    <xf numFmtId="164" fontId="5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left" wrapText="1"/>
    </xf>
    <xf numFmtId="0" fontId="8" fillId="2" borderId="0" xfId="0" applyFont="1" applyFill="1" applyBorder="1" applyAlignment="1" applyProtection="1">
      <alignment horizontal="left" wrapText="1"/>
    </xf>
    <xf numFmtId="2" fontId="8" fillId="2" borderId="0" xfId="0" applyNumberFormat="1" applyFont="1" applyFill="1" applyBorder="1" applyAlignment="1" applyProtection="1">
      <alignment horizontal="right"/>
    </xf>
    <xf numFmtId="166" fontId="5" fillId="2" borderId="0" xfId="0" applyNumberFormat="1" applyFont="1" applyFill="1" applyBorder="1" applyAlignment="1" applyProtection="1">
      <alignment horizontal="right"/>
    </xf>
    <xf numFmtId="166" fontId="5" fillId="2" borderId="0" xfId="0" applyNumberFormat="1" applyFont="1" applyFill="1" applyBorder="1" applyAlignment="1" applyProtection="1">
      <alignment horizontal="center"/>
    </xf>
    <xf numFmtId="0" fontId="0" fillId="2" borderId="0" xfId="0" applyFill="1" applyBorder="1" applyProtection="1"/>
    <xf numFmtId="166" fontId="12" fillId="2" borderId="4" xfId="0" applyNumberFormat="1" applyFont="1" applyFill="1" applyBorder="1" applyAlignment="1" applyProtection="1">
      <alignment horizontal="right"/>
      <protection locked="0"/>
    </xf>
    <xf numFmtId="164" fontId="12" fillId="2" borderId="4" xfId="0" applyNumberFormat="1" applyFont="1" applyFill="1" applyBorder="1" applyAlignment="1" applyProtection="1">
      <alignment horizontal="right"/>
    </xf>
    <xf numFmtId="0" fontId="12" fillId="2" borderId="4" xfId="0" applyFont="1" applyFill="1" applyBorder="1" applyAlignment="1" applyProtection="1">
      <alignment horizontal="left" wrapText="1"/>
    </xf>
    <xf numFmtId="2" fontId="12" fillId="2" borderId="4" xfId="0" applyNumberFormat="1" applyFont="1" applyFill="1" applyBorder="1" applyAlignment="1" applyProtection="1"/>
    <xf numFmtId="166" fontId="12" fillId="2" borderId="4" xfId="0" applyNumberFormat="1" applyFont="1" applyFill="1" applyBorder="1" applyAlignment="1" applyProtection="1">
      <alignment horizontal="right"/>
    </xf>
    <xf numFmtId="166" fontId="12" fillId="2" borderId="4" xfId="0" applyNumberFormat="1" applyFont="1" applyFill="1" applyBorder="1" applyAlignment="1" applyProtection="1">
      <alignment horizontal="center"/>
    </xf>
    <xf numFmtId="2" fontId="12" fillId="2" borderId="4" xfId="0" applyNumberFormat="1" applyFont="1" applyFill="1" applyBorder="1" applyAlignment="1" applyProtection="1">
      <alignment horizontal="right"/>
    </xf>
    <xf numFmtId="166" fontId="8" fillId="2" borderId="4" xfId="0" applyNumberFormat="1" applyFont="1" applyFill="1" applyBorder="1" applyAlignment="1" applyProtection="1">
      <alignment horizontal="left"/>
    </xf>
    <xf numFmtId="2" fontId="0" fillId="0" borderId="0" xfId="0" applyNumberFormat="1" applyProtection="1"/>
    <xf numFmtId="166" fontId="5" fillId="0" borderId="4" xfId="0" applyNumberFormat="1" applyFont="1" applyFill="1" applyBorder="1" applyAlignment="1" applyProtection="1">
      <alignment horizontal="right"/>
      <protection locked="0"/>
    </xf>
    <xf numFmtId="164" fontId="37" fillId="0" borderId="4" xfId="0" applyNumberFormat="1" applyFont="1" applyFill="1" applyBorder="1" applyAlignment="1" applyProtection="1">
      <alignment horizontal="right"/>
    </xf>
    <xf numFmtId="0" fontId="10" fillId="0" borderId="4" xfId="0" applyFont="1" applyFill="1" applyBorder="1" applyAlignment="1" applyProtection="1">
      <alignment horizontal="left" wrapText="1"/>
    </xf>
    <xf numFmtId="2" fontId="37" fillId="0" borderId="4" xfId="0" applyNumberFormat="1" applyFont="1" applyFill="1" applyBorder="1" applyAlignment="1" applyProtection="1">
      <alignment horizontal="right"/>
    </xf>
    <xf numFmtId="166" fontId="10" fillId="0" borderId="4" xfId="0" applyNumberFormat="1" applyFont="1" applyFill="1" applyBorder="1" applyAlignment="1" applyProtection="1">
      <alignment horizontal="right"/>
      <protection locked="0"/>
    </xf>
    <xf numFmtId="166" fontId="10" fillId="0" borderId="4" xfId="0" applyNumberFormat="1" applyFont="1" applyFill="1" applyBorder="1" applyAlignment="1" applyProtection="1">
      <alignment horizontal="right"/>
    </xf>
    <xf numFmtId="166" fontId="10" fillId="0" borderId="4" xfId="0" applyNumberFormat="1" applyFont="1" applyFill="1" applyBorder="1" applyAlignment="1" applyProtection="1">
      <alignment horizontal="center"/>
    </xf>
    <xf numFmtId="164" fontId="10" fillId="0" borderId="4" xfId="0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 applyProtection="1">
      <alignment horizontal="left" wrapText="1"/>
    </xf>
    <xf numFmtId="2" fontId="11" fillId="0" borderId="4" xfId="0" applyNumberFormat="1" applyFont="1" applyFill="1" applyBorder="1" applyAlignment="1" applyProtection="1">
      <alignment horizontal="right"/>
    </xf>
    <xf numFmtId="166" fontId="11" fillId="0" borderId="4" xfId="0" applyNumberFormat="1" applyFont="1" applyFill="1" applyBorder="1" applyAlignment="1" applyProtection="1">
      <alignment horizontal="right"/>
    </xf>
    <xf numFmtId="2" fontId="0" fillId="0" borderId="0" xfId="0" applyNumberFormat="1" applyFill="1" applyProtection="1"/>
    <xf numFmtId="0" fontId="12" fillId="0" borderId="4" xfId="0" applyFont="1" applyFill="1" applyBorder="1" applyAlignment="1" applyProtection="1">
      <alignment horizontal="left" wrapText="1"/>
    </xf>
    <xf numFmtId="2" fontId="12" fillId="0" borderId="4" xfId="0" applyNumberFormat="1" applyFont="1" applyFill="1" applyBorder="1" applyAlignment="1" applyProtection="1">
      <alignment horizontal="right"/>
    </xf>
    <xf numFmtId="2" fontId="5" fillId="0" borderId="4" xfId="0" applyNumberFormat="1" applyFont="1" applyFill="1" applyBorder="1" applyAlignment="1" applyProtection="1">
      <alignment horizontal="right"/>
    </xf>
    <xf numFmtId="164" fontId="12" fillId="0" borderId="4" xfId="0" applyNumberFormat="1" applyFont="1" applyFill="1" applyBorder="1" applyAlignment="1" applyProtection="1">
      <alignment horizontal="right"/>
    </xf>
    <xf numFmtId="166" fontId="5" fillId="0" borderId="4" xfId="0" applyNumberFormat="1" applyFont="1" applyFill="1" applyBorder="1" applyAlignment="1" applyProtection="1">
      <alignment horizontal="right"/>
    </xf>
    <xf numFmtId="164" fontId="5" fillId="0" borderId="4" xfId="0" applyNumberFormat="1" applyFont="1" applyFill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left"/>
    </xf>
    <xf numFmtId="2" fontId="8" fillId="0" borderId="4" xfId="0" applyNumberFormat="1" applyFont="1" applyFill="1" applyBorder="1" applyAlignment="1" applyProtection="1"/>
    <xf numFmtId="2" fontId="12" fillId="0" borderId="4" xfId="0" applyNumberFormat="1" applyFont="1" applyFill="1" applyBorder="1" applyAlignment="1" applyProtection="1"/>
    <xf numFmtId="166" fontId="12" fillId="0" borderId="4" xfId="0" applyNumberFormat="1" applyFont="1" applyFill="1" applyBorder="1" applyAlignment="1" applyProtection="1">
      <alignment horizontal="right"/>
      <protection locked="0"/>
    </xf>
    <xf numFmtId="166" fontId="12" fillId="0" borderId="4" xfId="0" applyNumberFormat="1" applyFont="1" applyFill="1" applyBorder="1" applyAlignment="1" applyProtection="1">
      <alignment horizontal="right"/>
    </xf>
    <xf numFmtId="166" fontId="12" fillId="0" borderId="4" xfId="0" applyNumberFormat="1" applyFont="1" applyFill="1" applyBorder="1" applyAlignment="1" applyProtection="1">
      <alignment horizontal="center"/>
    </xf>
    <xf numFmtId="2" fontId="9" fillId="0" borderId="4" xfId="0" applyNumberFormat="1" applyFont="1" applyFill="1" applyBorder="1" applyAlignment="1" applyProtection="1">
      <alignment horizontal="right"/>
    </xf>
    <xf numFmtId="0" fontId="8" fillId="0" borderId="4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15" fillId="0" borderId="4" xfId="0" applyFont="1" applyFill="1" applyBorder="1" applyAlignment="1" applyProtection="1">
      <alignment horizontal="left" wrapText="1"/>
    </xf>
    <xf numFmtId="166" fontId="15" fillId="0" borderId="4" xfId="0" applyNumberFormat="1" applyFont="1" applyFill="1" applyBorder="1" applyAlignment="1" applyProtection="1">
      <alignment horizontal="right"/>
    </xf>
    <xf numFmtId="166" fontId="15" fillId="0" borderId="4" xfId="0" applyNumberFormat="1" applyFont="1" applyFill="1" applyBorder="1" applyAlignment="1" applyProtection="1">
      <alignment horizontal="center"/>
    </xf>
    <xf numFmtId="164" fontId="8" fillId="0" borderId="4" xfId="0" applyNumberFormat="1" applyFont="1" applyFill="1" applyBorder="1" applyAlignment="1" applyProtection="1">
      <alignment horizontal="right"/>
    </xf>
    <xf numFmtId="2" fontId="8" fillId="0" borderId="4" xfId="0" applyNumberFormat="1" applyFont="1" applyFill="1" applyBorder="1" applyAlignment="1" applyProtection="1">
      <alignment horizontal="right" wrapText="1"/>
    </xf>
    <xf numFmtId="0" fontId="1" fillId="0" borderId="4" xfId="0" applyFont="1" applyFill="1" applyBorder="1" applyAlignment="1" applyProtection="1">
      <alignment horizontal="center" vertical="top"/>
    </xf>
    <xf numFmtId="49" fontId="12" fillId="2" borderId="4" xfId="0" applyNumberFormat="1" applyFont="1" applyFill="1" applyBorder="1" applyAlignment="1" applyProtection="1">
      <alignment horizontal="right" wrapText="1"/>
    </xf>
    <xf numFmtId="2" fontId="9" fillId="0" borderId="4" xfId="0" applyNumberFormat="1" applyFont="1" applyFill="1" applyBorder="1" applyAlignment="1" applyProtection="1"/>
    <xf numFmtId="0" fontId="36" fillId="0" borderId="0" xfId="0" applyFont="1" applyProtection="1"/>
    <xf numFmtId="0" fontId="4" fillId="0" borderId="0" xfId="1" applyFont="1" applyFill="1" applyAlignment="1" applyProtection="1">
      <alignment horizontal="left" wrapText="1"/>
    </xf>
    <xf numFmtId="0" fontId="0" fillId="0" borderId="0" xfId="0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1" fillId="0" borderId="0" xfId="2" applyFont="1" applyFill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/>
    </xf>
  </cellXfs>
  <cellStyles count="17"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2" xfId="1"/>
    <cellStyle name="normální 2 2" xfId="7"/>
    <cellStyle name="Normální 3" xfId="8"/>
    <cellStyle name="Normální 3 2" xfId="9"/>
    <cellStyle name="Normální 4" xfId="10"/>
    <cellStyle name="Normální 5" xfId="11"/>
    <cellStyle name="Normální 6" xfId="12"/>
    <cellStyle name="Normální 7" xfId="13"/>
    <cellStyle name="Normální 8" xfId="3"/>
    <cellStyle name="normální_POL.XLS" xfId="2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0000FF"/>
      <color rgb="FFFF66CC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zoomScaleNormal="100" workbookViewId="0"/>
  </sheetViews>
  <sheetFormatPr defaultRowHeight="10.5"/>
  <cols>
    <col min="1" max="1" width="10.140625" style="83" customWidth="1"/>
    <col min="2" max="2" width="58.85546875" style="83" customWidth="1"/>
    <col min="3" max="3" width="13.5703125" style="83" customWidth="1"/>
    <col min="4" max="256" width="9.140625" style="83"/>
    <col min="257" max="257" width="10.140625" style="83" customWidth="1"/>
    <col min="258" max="258" width="55.85546875" style="83" customWidth="1"/>
    <col min="259" max="259" width="13.5703125" style="83" customWidth="1"/>
    <col min="260" max="512" width="9.140625" style="83"/>
    <col min="513" max="513" width="10.140625" style="83" customWidth="1"/>
    <col min="514" max="514" width="55.85546875" style="83" customWidth="1"/>
    <col min="515" max="515" width="13.5703125" style="83" customWidth="1"/>
    <col min="516" max="768" width="9.140625" style="83"/>
    <col min="769" max="769" width="10.140625" style="83" customWidth="1"/>
    <col min="770" max="770" width="55.85546875" style="83" customWidth="1"/>
    <col min="771" max="771" width="13.5703125" style="83" customWidth="1"/>
    <col min="772" max="1024" width="9.140625" style="83"/>
    <col min="1025" max="1025" width="10.140625" style="83" customWidth="1"/>
    <col min="1026" max="1026" width="55.85546875" style="83" customWidth="1"/>
    <col min="1027" max="1027" width="13.5703125" style="83" customWidth="1"/>
    <col min="1028" max="1280" width="9.140625" style="83"/>
    <col min="1281" max="1281" width="10.140625" style="83" customWidth="1"/>
    <col min="1282" max="1282" width="55.85546875" style="83" customWidth="1"/>
    <col min="1283" max="1283" width="13.5703125" style="83" customWidth="1"/>
    <col min="1284" max="1536" width="9.140625" style="83"/>
    <col min="1537" max="1537" width="10.140625" style="83" customWidth="1"/>
    <col min="1538" max="1538" width="55.85546875" style="83" customWidth="1"/>
    <col min="1539" max="1539" width="13.5703125" style="83" customWidth="1"/>
    <col min="1540" max="1792" width="9.140625" style="83"/>
    <col min="1793" max="1793" width="10.140625" style="83" customWidth="1"/>
    <col min="1794" max="1794" width="55.85546875" style="83" customWidth="1"/>
    <col min="1795" max="1795" width="13.5703125" style="83" customWidth="1"/>
    <col min="1796" max="2048" width="9.140625" style="83"/>
    <col min="2049" max="2049" width="10.140625" style="83" customWidth="1"/>
    <col min="2050" max="2050" width="55.85546875" style="83" customWidth="1"/>
    <col min="2051" max="2051" width="13.5703125" style="83" customWidth="1"/>
    <col min="2052" max="2304" width="9.140625" style="83"/>
    <col min="2305" max="2305" width="10.140625" style="83" customWidth="1"/>
    <col min="2306" max="2306" width="55.85546875" style="83" customWidth="1"/>
    <col min="2307" max="2307" width="13.5703125" style="83" customWidth="1"/>
    <col min="2308" max="2560" width="9.140625" style="83"/>
    <col min="2561" max="2561" width="10.140625" style="83" customWidth="1"/>
    <col min="2562" max="2562" width="55.85546875" style="83" customWidth="1"/>
    <col min="2563" max="2563" width="13.5703125" style="83" customWidth="1"/>
    <col min="2564" max="2816" width="9.140625" style="83"/>
    <col min="2817" max="2817" width="10.140625" style="83" customWidth="1"/>
    <col min="2818" max="2818" width="55.85546875" style="83" customWidth="1"/>
    <col min="2819" max="2819" width="13.5703125" style="83" customWidth="1"/>
    <col min="2820" max="3072" width="9.140625" style="83"/>
    <col min="3073" max="3073" width="10.140625" style="83" customWidth="1"/>
    <col min="3074" max="3074" width="55.85546875" style="83" customWidth="1"/>
    <col min="3075" max="3075" width="13.5703125" style="83" customWidth="1"/>
    <col min="3076" max="3328" width="9.140625" style="83"/>
    <col min="3329" max="3329" width="10.140625" style="83" customWidth="1"/>
    <col min="3330" max="3330" width="55.85546875" style="83" customWidth="1"/>
    <col min="3331" max="3331" width="13.5703125" style="83" customWidth="1"/>
    <col min="3332" max="3584" width="9.140625" style="83"/>
    <col min="3585" max="3585" width="10.140625" style="83" customWidth="1"/>
    <col min="3586" max="3586" width="55.85546875" style="83" customWidth="1"/>
    <col min="3587" max="3587" width="13.5703125" style="83" customWidth="1"/>
    <col min="3588" max="3840" width="9.140625" style="83"/>
    <col min="3841" max="3841" width="10.140625" style="83" customWidth="1"/>
    <col min="3842" max="3842" width="55.85546875" style="83" customWidth="1"/>
    <col min="3843" max="3843" width="13.5703125" style="83" customWidth="1"/>
    <col min="3844" max="4096" width="9.140625" style="83"/>
    <col min="4097" max="4097" width="10.140625" style="83" customWidth="1"/>
    <col min="4098" max="4098" width="55.85546875" style="83" customWidth="1"/>
    <col min="4099" max="4099" width="13.5703125" style="83" customWidth="1"/>
    <col min="4100" max="4352" width="9.140625" style="83"/>
    <col min="4353" max="4353" width="10.140625" style="83" customWidth="1"/>
    <col min="4354" max="4354" width="55.85546875" style="83" customWidth="1"/>
    <col min="4355" max="4355" width="13.5703125" style="83" customWidth="1"/>
    <col min="4356" max="4608" width="9.140625" style="83"/>
    <col min="4609" max="4609" width="10.140625" style="83" customWidth="1"/>
    <col min="4610" max="4610" width="55.85546875" style="83" customWidth="1"/>
    <col min="4611" max="4611" width="13.5703125" style="83" customWidth="1"/>
    <col min="4612" max="4864" width="9.140625" style="83"/>
    <col min="4865" max="4865" width="10.140625" style="83" customWidth="1"/>
    <col min="4866" max="4866" width="55.85546875" style="83" customWidth="1"/>
    <col min="4867" max="4867" width="13.5703125" style="83" customWidth="1"/>
    <col min="4868" max="5120" width="9.140625" style="83"/>
    <col min="5121" max="5121" width="10.140625" style="83" customWidth="1"/>
    <col min="5122" max="5122" width="55.85546875" style="83" customWidth="1"/>
    <col min="5123" max="5123" width="13.5703125" style="83" customWidth="1"/>
    <col min="5124" max="5376" width="9.140625" style="83"/>
    <col min="5377" max="5377" width="10.140625" style="83" customWidth="1"/>
    <col min="5378" max="5378" width="55.85546875" style="83" customWidth="1"/>
    <col min="5379" max="5379" width="13.5703125" style="83" customWidth="1"/>
    <col min="5380" max="5632" width="9.140625" style="83"/>
    <col min="5633" max="5633" width="10.140625" style="83" customWidth="1"/>
    <col min="5634" max="5634" width="55.85546875" style="83" customWidth="1"/>
    <col min="5635" max="5635" width="13.5703125" style="83" customWidth="1"/>
    <col min="5636" max="5888" width="9.140625" style="83"/>
    <col min="5889" max="5889" width="10.140625" style="83" customWidth="1"/>
    <col min="5890" max="5890" width="55.85546875" style="83" customWidth="1"/>
    <col min="5891" max="5891" width="13.5703125" style="83" customWidth="1"/>
    <col min="5892" max="6144" width="9.140625" style="83"/>
    <col min="6145" max="6145" width="10.140625" style="83" customWidth="1"/>
    <col min="6146" max="6146" width="55.85546875" style="83" customWidth="1"/>
    <col min="6147" max="6147" width="13.5703125" style="83" customWidth="1"/>
    <col min="6148" max="6400" width="9.140625" style="83"/>
    <col min="6401" max="6401" width="10.140625" style="83" customWidth="1"/>
    <col min="6402" max="6402" width="55.85546875" style="83" customWidth="1"/>
    <col min="6403" max="6403" width="13.5703125" style="83" customWidth="1"/>
    <col min="6404" max="6656" width="9.140625" style="83"/>
    <col min="6657" max="6657" width="10.140625" style="83" customWidth="1"/>
    <col min="6658" max="6658" width="55.85546875" style="83" customWidth="1"/>
    <col min="6659" max="6659" width="13.5703125" style="83" customWidth="1"/>
    <col min="6660" max="6912" width="9.140625" style="83"/>
    <col min="6913" max="6913" width="10.140625" style="83" customWidth="1"/>
    <col min="6914" max="6914" width="55.85546875" style="83" customWidth="1"/>
    <col min="6915" max="6915" width="13.5703125" style="83" customWidth="1"/>
    <col min="6916" max="7168" width="9.140625" style="83"/>
    <col min="7169" max="7169" width="10.140625" style="83" customWidth="1"/>
    <col min="7170" max="7170" width="55.85546875" style="83" customWidth="1"/>
    <col min="7171" max="7171" width="13.5703125" style="83" customWidth="1"/>
    <col min="7172" max="7424" width="9.140625" style="83"/>
    <col min="7425" max="7425" width="10.140625" style="83" customWidth="1"/>
    <col min="7426" max="7426" width="55.85546875" style="83" customWidth="1"/>
    <col min="7427" max="7427" width="13.5703125" style="83" customWidth="1"/>
    <col min="7428" max="7680" width="9.140625" style="83"/>
    <col min="7681" max="7681" width="10.140625" style="83" customWidth="1"/>
    <col min="7682" max="7682" width="55.85546875" style="83" customWidth="1"/>
    <col min="7683" max="7683" width="13.5703125" style="83" customWidth="1"/>
    <col min="7684" max="7936" width="9.140625" style="83"/>
    <col min="7937" max="7937" width="10.140625" style="83" customWidth="1"/>
    <col min="7938" max="7938" width="55.85546875" style="83" customWidth="1"/>
    <col min="7939" max="7939" width="13.5703125" style="83" customWidth="1"/>
    <col min="7940" max="8192" width="9.140625" style="83"/>
    <col min="8193" max="8193" width="10.140625" style="83" customWidth="1"/>
    <col min="8194" max="8194" width="55.85546875" style="83" customWidth="1"/>
    <col min="8195" max="8195" width="13.5703125" style="83" customWidth="1"/>
    <col min="8196" max="8448" width="9.140625" style="83"/>
    <col min="8449" max="8449" width="10.140625" style="83" customWidth="1"/>
    <col min="8450" max="8450" width="55.85546875" style="83" customWidth="1"/>
    <col min="8451" max="8451" width="13.5703125" style="83" customWidth="1"/>
    <col min="8452" max="8704" width="9.140625" style="83"/>
    <col min="8705" max="8705" width="10.140625" style="83" customWidth="1"/>
    <col min="8706" max="8706" width="55.85546875" style="83" customWidth="1"/>
    <col min="8707" max="8707" width="13.5703125" style="83" customWidth="1"/>
    <col min="8708" max="8960" width="9.140625" style="83"/>
    <col min="8961" max="8961" width="10.140625" style="83" customWidth="1"/>
    <col min="8962" max="8962" width="55.85546875" style="83" customWidth="1"/>
    <col min="8963" max="8963" width="13.5703125" style="83" customWidth="1"/>
    <col min="8964" max="9216" width="9.140625" style="83"/>
    <col min="9217" max="9217" width="10.140625" style="83" customWidth="1"/>
    <col min="9218" max="9218" width="55.85546875" style="83" customWidth="1"/>
    <col min="9219" max="9219" width="13.5703125" style="83" customWidth="1"/>
    <col min="9220" max="9472" width="9.140625" style="83"/>
    <col min="9473" max="9473" width="10.140625" style="83" customWidth="1"/>
    <col min="9474" max="9474" width="55.85546875" style="83" customWidth="1"/>
    <col min="9475" max="9475" width="13.5703125" style="83" customWidth="1"/>
    <col min="9476" max="9728" width="9.140625" style="83"/>
    <col min="9729" max="9729" width="10.140625" style="83" customWidth="1"/>
    <col min="9730" max="9730" width="55.85546875" style="83" customWidth="1"/>
    <col min="9731" max="9731" width="13.5703125" style="83" customWidth="1"/>
    <col min="9732" max="9984" width="9.140625" style="83"/>
    <col min="9985" max="9985" width="10.140625" style="83" customWidth="1"/>
    <col min="9986" max="9986" width="55.85546875" style="83" customWidth="1"/>
    <col min="9987" max="9987" width="13.5703125" style="83" customWidth="1"/>
    <col min="9988" max="10240" width="9.140625" style="83"/>
    <col min="10241" max="10241" width="10.140625" style="83" customWidth="1"/>
    <col min="10242" max="10242" width="55.85546875" style="83" customWidth="1"/>
    <col min="10243" max="10243" width="13.5703125" style="83" customWidth="1"/>
    <col min="10244" max="10496" width="9.140625" style="83"/>
    <col min="10497" max="10497" width="10.140625" style="83" customWidth="1"/>
    <col min="10498" max="10498" width="55.85546875" style="83" customWidth="1"/>
    <col min="10499" max="10499" width="13.5703125" style="83" customWidth="1"/>
    <col min="10500" max="10752" width="9.140625" style="83"/>
    <col min="10753" max="10753" width="10.140625" style="83" customWidth="1"/>
    <col min="10754" max="10754" width="55.85546875" style="83" customWidth="1"/>
    <col min="10755" max="10755" width="13.5703125" style="83" customWidth="1"/>
    <col min="10756" max="11008" width="9.140625" style="83"/>
    <col min="11009" max="11009" width="10.140625" style="83" customWidth="1"/>
    <col min="11010" max="11010" width="55.85546875" style="83" customWidth="1"/>
    <col min="11011" max="11011" width="13.5703125" style="83" customWidth="1"/>
    <col min="11012" max="11264" width="9.140625" style="83"/>
    <col min="11265" max="11265" width="10.140625" style="83" customWidth="1"/>
    <col min="11266" max="11266" width="55.85546875" style="83" customWidth="1"/>
    <col min="11267" max="11267" width="13.5703125" style="83" customWidth="1"/>
    <col min="11268" max="11520" width="9.140625" style="83"/>
    <col min="11521" max="11521" width="10.140625" style="83" customWidth="1"/>
    <col min="11522" max="11522" width="55.85546875" style="83" customWidth="1"/>
    <col min="11523" max="11523" width="13.5703125" style="83" customWidth="1"/>
    <col min="11524" max="11776" width="9.140625" style="83"/>
    <col min="11777" max="11777" width="10.140625" style="83" customWidth="1"/>
    <col min="11778" max="11778" width="55.85546875" style="83" customWidth="1"/>
    <col min="11779" max="11779" width="13.5703125" style="83" customWidth="1"/>
    <col min="11780" max="12032" width="9.140625" style="83"/>
    <col min="12033" max="12033" width="10.140625" style="83" customWidth="1"/>
    <col min="12034" max="12034" width="55.85546875" style="83" customWidth="1"/>
    <col min="12035" max="12035" width="13.5703125" style="83" customWidth="1"/>
    <col min="12036" max="12288" width="9.140625" style="83"/>
    <col min="12289" max="12289" width="10.140625" style="83" customWidth="1"/>
    <col min="12290" max="12290" width="55.85546875" style="83" customWidth="1"/>
    <col min="12291" max="12291" width="13.5703125" style="83" customWidth="1"/>
    <col min="12292" max="12544" width="9.140625" style="83"/>
    <col min="12545" max="12545" width="10.140625" style="83" customWidth="1"/>
    <col min="12546" max="12546" width="55.85546875" style="83" customWidth="1"/>
    <col min="12547" max="12547" width="13.5703125" style="83" customWidth="1"/>
    <col min="12548" max="12800" width="9.140625" style="83"/>
    <col min="12801" max="12801" width="10.140625" style="83" customWidth="1"/>
    <col min="12802" max="12802" width="55.85546875" style="83" customWidth="1"/>
    <col min="12803" max="12803" width="13.5703125" style="83" customWidth="1"/>
    <col min="12804" max="13056" width="9.140625" style="83"/>
    <col min="13057" max="13057" width="10.140625" style="83" customWidth="1"/>
    <col min="13058" max="13058" width="55.85546875" style="83" customWidth="1"/>
    <col min="13059" max="13059" width="13.5703125" style="83" customWidth="1"/>
    <col min="13060" max="13312" width="9.140625" style="83"/>
    <col min="13313" max="13313" width="10.140625" style="83" customWidth="1"/>
    <col min="13314" max="13314" width="55.85546875" style="83" customWidth="1"/>
    <col min="13315" max="13315" width="13.5703125" style="83" customWidth="1"/>
    <col min="13316" max="13568" width="9.140625" style="83"/>
    <col min="13569" max="13569" width="10.140625" style="83" customWidth="1"/>
    <col min="13570" max="13570" width="55.85546875" style="83" customWidth="1"/>
    <col min="13571" max="13571" width="13.5703125" style="83" customWidth="1"/>
    <col min="13572" max="13824" width="9.140625" style="83"/>
    <col min="13825" max="13825" width="10.140625" style="83" customWidth="1"/>
    <col min="13826" max="13826" width="55.85546875" style="83" customWidth="1"/>
    <col min="13827" max="13827" width="13.5703125" style="83" customWidth="1"/>
    <col min="13828" max="14080" width="9.140625" style="83"/>
    <col min="14081" max="14081" width="10.140625" style="83" customWidth="1"/>
    <col min="14082" max="14082" width="55.85546875" style="83" customWidth="1"/>
    <col min="14083" max="14083" width="13.5703125" style="83" customWidth="1"/>
    <col min="14084" max="14336" width="9.140625" style="83"/>
    <col min="14337" max="14337" width="10.140625" style="83" customWidth="1"/>
    <col min="14338" max="14338" width="55.85546875" style="83" customWidth="1"/>
    <col min="14339" max="14339" width="13.5703125" style="83" customWidth="1"/>
    <col min="14340" max="14592" width="9.140625" style="83"/>
    <col min="14593" max="14593" width="10.140625" style="83" customWidth="1"/>
    <col min="14594" max="14594" width="55.85546875" style="83" customWidth="1"/>
    <col min="14595" max="14595" width="13.5703125" style="83" customWidth="1"/>
    <col min="14596" max="14848" width="9.140625" style="83"/>
    <col min="14849" max="14849" width="10.140625" style="83" customWidth="1"/>
    <col min="14850" max="14850" width="55.85546875" style="83" customWidth="1"/>
    <col min="14851" max="14851" width="13.5703125" style="83" customWidth="1"/>
    <col min="14852" max="15104" width="9.140625" style="83"/>
    <col min="15105" max="15105" width="10.140625" style="83" customWidth="1"/>
    <col min="15106" max="15106" width="55.85546875" style="83" customWidth="1"/>
    <col min="15107" max="15107" width="13.5703125" style="83" customWidth="1"/>
    <col min="15108" max="15360" width="9.140625" style="83"/>
    <col min="15361" max="15361" width="10.140625" style="83" customWidth="1"/>
    <col min="15362" max="15362" width="55.85546875" style="83" customWidth="1"/>
    <col min="15363" max="15363" width="13.5703125" style="83" customWidth="1"/>
    <col min="15364" max="15616" width="9.140625" style="83"/>
    <col min="15617" max="15617" width="10.140625" style="83" customWidth="1"/>
    <col min="15618" max="15618" width="55.85546875" style="83" customWidth="1"/>
    <col min="15619" max="15619" width="13.5703125" style="83" customWidth="1"/>
    <col min="15620" max="15872" width="9.140625" style="83"/>
    <col min="15873" max="15873" width="10.140625" style="83" customWidth="1"/>
    <col min="15874" max="15874" width="55.85546875" style="83" customWidth="1"/>
    <col min="15875" max="15875" width="13.5703125" style="83" customWidth="1"/>
    <col min="15876" max="16128" width="9.140625" style="83"/>
    <col min="16129" max="16129" width="10.140625" style="83" customWidth="1"/>
    <col min="16130" max="16130" width="55.85546875" style="83" customWidth="1"/>
    <col min="16131" max="16131" width="13.5703125" style="83" customWidth="1"/>
    <col min="16132" max="16384" width="9.140625" style="83"/>
  </cols>
  <sheetData>
    <row r="1" spans="1:9" ht="20.25" customHeight="1">
      <c r="A1" s="1" t="s">
        <v>90</v>
      </c>
      <c r="B1" s="2"/>
      <c r="C1" s="2"/>
    </row>
    <row r="2" spans="1:9" s="70" customFormat="1" ht="13.5" customHeight="1">
      <c r="A2" s="229" t="s">
        <v>91</v>
      </c>
      <c r="B2" s="231"/>
      <c r="C2" s="231"/>
      <c r="D2" s="231"/>
      <c r="E2" s="231"/>
      <c r="F2" s="231"/>
      <c r="G2" s="231"/>
      <c r="H2" s="231"/>
      <c r="I2" s="231"/>
    </row>
    <row r="3" spans="1:9" s="84" customFormat="1" ht="13.5" customHeight="1">
      <c r="A3" s="229" t="s">
        <v>159</v>
      </c>
      <c r="B3" s="230"/>
      <c r="C3" s="230"/>
      <c r="D3" s="230"/>
      <c r="E3" s="3"/>
      <c r="F3" s="4"/>
      <c r="G3" s="4"/>
      <c r="H3" s="10"/>
      <c r="I3" s="10"/>
    </row>
    <row r="4" spans="1:9" s="84" customFormat="1" ht="15">
      <c r="A4" s="3" t="s">
        <v>97</v>
      </c>
      <c r="B4" s="3"/>
      <c r="C4" s="3"/>
      <c r="D4" s="3"/>
      <c r="E4" s="3"/>
      <c r="F4" s="4"/>
      <c r="G4" s="4"/>
      <c r="H4" s="10"/>
      <c r="I4" s="10"/>
    </row>
    <row r="5" spans="1:9" ht="13.5" customHeight="1">
      <c r="A5" s="2"/>
      <c r="B5" s="2"/>
      <c r="C5" s="55"/>
    </row>
    <row r="6" spans="1:9" ht="23.25" customHeight="1">
      <c r="A6" s="56" t="s">
        <v>92</v>
      </c>
      <c r="B6" s="57" t="s">
        <v>3</v>
      </c>
      <c r="C6" s="58" t="s">
        <v>93</v>
      </c>
    </row>
    <row r="7" spans="1:9" ht="13.5" customHeight="1">
      <c r="A7" s="59">
        <v>1</v>
      </c>
      <c r="B7" s="60">
        <v>2</v>
      </c>
      <c r="C7" s="61">
        <v>3</v>
      </c>
    </row>
    <row r="8" spans="1:9" ht="21" customHeight="1">
      <c r="A8" s="62"/>
      <c r="B8" s="63"/>
      <c r="C8" s="63"/>
    </row>
    <row r="9" spans="1:9" ht="13.5" customHeight="1">
      <c r="A9" s="64">
        <v>1</v>
      </c>
      <c r="B9" s="65" t="s">
        <v>94</v>
      </c>
      <c r="C9" s="66">
        <f>'AREÁLOVÁ DEŠŤOVÁ KANALIZACE'!H219</f>
        <v>0</v>
      </c>
    </row>
    <row r="10" spans="1:9" ht="13.5" customHeight="1">
      <c r="A10" s="64">
        <v>2</v>
      </c>
      <c r="B10" s="65" t="s">
        <v>95</v>
      </c>
      <c r="C10" s="66">
        <f>'AREÁLOVÁ SPLAŠKOVÁ KANALIZACE'!H88</f>
        <v>0</v>
      </c>
    </row>
    <row r="11" spans="1:9" ht="21" customHeight="1">
      <c r="A11" s="67"/>
      <c r="B11" s="68" t="s">
        <v>197</v>
      </c>
      <c r="C11" s="69">
        <f>C9+C10</f>
        <v>0</v>
      </c>
    </row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</sheetData>
  <sheetProtection password="CAD9" sheet="1" objects="1" scenarios="1"/>
  <mergeCells count="2">
    <mergeCell ref="A3:D3"/>
    <mergeCell ref="A2:I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W225"/>
  <sheetViews>
    <sheetView zoomScaleNormal="100" workbookViewId="0"/>
  </sheetViews>
  <sheetFormatPr defaultRowHeight="15"/>
  <cols>
    <col min="1" max="1" width="4.140625" style="84" customWidth="1"/>
    <col min="2" max="2" width="4.28515625" style="84" customWidth="1"/>
    <col min="3" max="3" width="14.42578125" style="84" customWidth="1"/>
    <col min="4" max="4" width="65" style="84" customWidth="1"/>
    <col min="5" max="5" width="6.7109375" style="84" customWidth="1"/>
    <col min="6" max="6" width="10.140625" style="84" customWidth="1"/>
    <col min="7" max="7" width="11.7109375" style="84" customWidth="1"/>
    <col min="8" max="8" width="15.7109375" style="84" customWidth="1"/>
    <col min="9" max="9" width="17.28515625" style="84" customWidth="1"/>
    <col min="10" max="10" width="10" style="84" bestFit="1" customWidth="1"/>
    <col min="11" max="16384" width="9.140625" style="84"/>
  </cols>
  <sheetData>
    <row r="1" spans="1:11" ht="18">
      <c r="A1" s="1" t="s">
        <v>198</v>
      </c>
      <c r="B1" s="2"/>
      <c r="C1" s="2"/>
      <c r="D1" s="9"/>
      <c r="E1" s="9"/>
      <c r="F1" s="9"/>
      <c r="G1" s="9"/>
      <c r="H1" s="9"/>
      <c r="I1" s="9"/>
    </row>
    <row r="2" spans="1:11" s="70" customFormat="1" ht="13.5" customHeight="1">
      <c r="A2" s="229" t="s">
        <v>91</v>
      </c>
      <c r="B2" s="231"/>
      <c r="C2" s="231"/>
      <c r="D2" s="231"/>
      <c r="E2" s="231"/>
      <c r="F2" s="231"/>
      <c r="G2" s="231"/>
      <c r="H2" s="231"/>
      <c r="I2" s="231"/>
    </row>
    <row r="3" spans="1:11" ht="13.5" customHeight="1">
      <c r="A3" s="229" t="s">
        <v>159</v>
      </c>
      <c r="B3" s="230"/>
      <c r="C3" s="230"/>
      <c r="D3" s="230"/>
      <c r="E3" s="3"/>
      <c r="F3" s="4"/>
      <c r="G3" s="4"/>
      <c r="H3" s="10"/>
      <c r="I3" s="10"/>
    </row>
    <row r="4" spans="1:11" ht="13.5" customHeight="1">
      <c r="A4" s="229" t="s">
        <v>96</v>
      </c>
      <c r="B4" s="230"/>
      <c r="C4" s="230"/>
      <c r="D4" s="230"/>
      <c r="E4" s="3"/>
      <c r="F4" s="4"/>
      <c r="G4" s="4"/>
      <c r="H4" s="10"/>
      <c r="I4" s="10"/>
    </row>
    <row r="5" spans="1:11">
      <c r="A5" s="3" t="s">
        <v>97</v>
      </c>
      <c r="B5" s="3"/>
      <c r="C5" s="3"/>
      <c r="D5" s="3"/>
      <c r="E5" s="3"/>
      <c r="F5" s="4"/>
      <c r="G5" s="4"/>
      <c r="H5" s="10"/>
      <c r="I5" s="10"/>
    </row>
    <row r="6" spans="1:11">
      <c r="A6" s="4"/>
      <c r="B6" s="4"/>
      <c r="C6" s="4"/>
      <c r="D6" s="54"/>
      <c r="E6" s="5"/>
      <c r="F6" s="4"/>
      <c r="G6" s="4"/>
      <c r="H6" s="4"/>
      <c r="I6" s="11"/>
    </row>
    <row r="7" spans="1:11" ht="22.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8" t="s">
        <v>8</v>
      </c>
    </row>
    <row r="8" spans="1:11">
      <c r="A8" s="6" t="s">
        <v>9</v>
      </c>
      <c r="B8" s="6" t="s">
        <v>10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7">
        <v>8</v>
      </c>
      <c r="I8" s="8">
        <v>9</v>
      </c>
    </row>
    <row r="9" spans="1:11" ht="21" customHeight="1">
      <c r="A9" s="12"/>
      <c r="B9" s="13"/>
      <c r="C9" s="13" t="s">
        <v>11</v>
      </c>
      <c r="D9" s="13" t="s">
        <v>12</v>
      </c>
      <c r="E9" s="13"/>
      <c r="F9" s="14"/>
      <c r="G9" s="15"/>
      <c r="H9" s="15">
        <f>H10+H136+H154+H190+H204</f>
        <v>0</v>
      </c>
      <c r="I9" s="10"/>
    </row>
    <row r="10" spans="1:11" ht="13.5" customHeight="1">
      <c r="A10" s="16"/>
      <c r="B10" s="16"/>
      <c r="C10" s="17" t="s">
        <v>9</v>
      </c>
      <c r="D10" s="17" t="s">
        <v>13</v>
      </c>
      <c r="E10" s="18"/>
      <c r="F10" s="19"/>
      <c r="G10" s="20"/>
      <c r="H10" s="20">
        <f>SUM(H11:H135)</f>
        <v>0</v>
      </c>
      <c r="I10" s="21"/>
    </row>
    <row r="11" spans="1:11" ht="13.5" customHeight="1">
      <c r="A11" s="24">
        <v>1</v>
      </c>
      <c r="B11" s="22">
        <v>221</v>
      </c>
      <c r="C11" s="22">
        <v>115101201</v>
      </c>
      <c r="D11" s="22" t="s">
        <v>14</v>
      </c>
      <c r="E11" s="22" t="s">
        <v>15</v>
      </c>
      <c r="F11" s="85">
        <v>56</v>
      </c>
      <c r="G11" s="71"/>
      <c r="H11" s="75">
        <f>F11*G11</f>
        <v>0</v>
      </c>
      <c r="I11" s="23" t="s">
        <v>155</v>
      </c>
      <c r="J11" s="86"/>
    </row>
    <row r="12" spans="1:11" ht="13.5" customHeight="1">
      <c r="A12" s="24">
        <v>2</v>
      </c>
      <c r="B12" s="22">
        <v>221</v>
      </c>
      <c r="C12" s="22">
        <v>115101301</v>
      </c>
      <c r="D12" s="22" t="s">
        <v>16</v>
      </c>
      <c r="E12" s="22" t="s">
        <v>17</v>
      </c>
      <c r="F12" s="85">
        <v>7</v>
      </c>
      <c r="G12" s="71"/>
      <c r="H12" s="75">
        <f>F12*G12</f>
        <v>0</v>
      </c>
      <c r="I12" s="23" t="s">
        <v>155</v>
      </c>
      <c r="J12" s="86"/>
    </row>
    <row r="13" spans="1:11" ht="13.5" customHeight="1">
      <c r="A13" s="24">
        <v>3</v>
      </c>
      <c r="B13" s="22" t="s">
        <v>18</v>
      </c>
      <c r="C13" s="22">
        <v>119001401</v>
      </c>
      <c r="D13" s="22" t="s">
        <v>63</v>
      </c>
      <c r="E13" s="22" t="s">
        <v>19</v>
      </c>
      <c r="F13" s="74">
        <v>12</v>
      </c>
      <c r="G13" s="71"/>
      <c r="H13" s="75">
        <f>F13*G13</f>
        <v>0</v>
      </c>
      <c r="I13" s="23" t="s">
        <v>155</v>
      </c>
      <c r="J13" s="86"/>
    </row>
    <row r="14" spans="1:11" ht="13.5" customHeight="1">
      <c r="A14" s="24">
        <v>4</v>
      </c>
      <c r="B14" s="22" t="s">
        <v>18</v>
      </c>
      <c r="C14" s="22">
        <v>119001421</v>
      </c>
      <c r="D14" s="22" t="s">
        <v>20</v>
      </c>
      <c r="E14" s="22" t="s">
        <v>19</v>
      </c>
      <c r="F14" s="74">
        <v>15</v>
      </c>
      <c r="G14" s="71"/>
      <c r="H14" s="75">
        <f>F14*G14</f>
        <v>0</v>
      </c>
      <c r="I14" s="23" t="s">
        <v>155</v>
      </c>
      <c r="J14" s="86"/>
    </row>
    <row r="15" spans="1:11" s="88" customFormat="1" ht="13.5" customHeight="1">
      <c r="A15" s="87" t="s">
        <v>115</v>
      </c>
      <c r="B15" s="22" t="s">
        <v>18</v>
      </c>
      <c r="C15" s="22">
        <v>121101103</v>
      </c>
      <c r="D15" s="22" t="s">
        <v>98</v>
      </c>
      <c r="E15" s="22" t="s">
        <v>22</v>
      </c>
      <c r="F15" s="74">
        <f>F16</f>
        <v>2.2770000000000001</v>
      </c>
      <c r="G15" s="71"/>
      <c r="H15" s="75">
        <f>F15*G15</f>
        <v>0</v>
      </c>
      <c r="I15" s="23" t="s">
        <v>155</v>
      </c>
      <c r="K15" s="84"/>
    </row>
    <row r="16" spans="1:11" s="91" customFormat="1" ht="13.5" customHeight="1">
      <c r="A16" s="24"/>
      <c r="B16" s="89"/>
      <c r="C16" s="22"/>
      <c r="D16" s="77" t="s">
        <v>101</v>
      </c>
      <c r="E16" s="22"/>
      <c r="F16" s="90">
        <f>13.8*1.1*0.15</f>
        <v>2.2770000000000001</v>
      </c>
      <c r="G16" s="75"/>
      <c r="H16" s="75"/>
      <c r="I16" s="23"/>
      <c r="K16" s="84"/>
    </row>
    <row r="17" spans="1:11" ht="13.5" customHeight="1">
      <c r="A17" s="184">
        <v>6</v>
      </c>
      <c r="B17" s="22" t="s">
        <v>18</v>
      </c>
      <c r="C17" s="22">
        <v>130001101</v>
      </c>
      <c r="D17" s="22" t="s">
        <v>21</v>
      </c>
      <c r="E17" s="22" t="s">
        <v>22</v>
      </c>
      <c r="F17" s="189">
        <f>F18</f>
        <v>31.430000000000003</v>
      </c>
      <c r="G17" s="71"/>
      <c r="H17" s="75">
        <f>F17*G17</f>
        <v>0</v>
      </c>
      <c r="I17" s="23" t="s">
        <v>155</v>
      </c>
      <c r="J17" s="86"/>
    </row>
    <row r="18" spans="1:11" ht="13.5" customHeight="1">
      <c r="A18" s="24"/>
      <c r="B18" s="22"/>
      <c r="C18" s="77"/>
      <c r="D18" s="77" t="s">
        <v>287</v>
      </c>
      <c r="E18" s="77"/>
      <c r="F18" s="90">
        <f>(157.15+157.15)*0.1</f>
        <v>31.430000000000003</v>
      </c>
      <c r="G18" s="80"/>
      <c r="H18" s="80"/>
      <c r="I18" s="23"/>
      <c r="J18" s="86"/>
    </row>
    <row r="19" spans="1:11" ht="13.5" customHeight="1">
      <c r="A19" s="184">
        <v>7</v>
      </c>
      <c r="B19" s="22" t="s">
        <v>18</v>
      </c>
      <c r="C19" s="204">
        <v>132201202</v>
      </c>
      <c r="D19" s="204" t="s">
        <v>226</v>
      </c>
      <c r="E19" s="156" t="s">
        <v>22</v>
      </c>
      <c r="F19" s="205">
        <f>SUM(F20:F35)</f>
        <v>157.05450000000002</v>
      </c>
      <c r="G19" s="71"/>
      <c r="H19" s="75">
        <f>F19*G19</f>
        <v>0</v>
      </c>
      <c r="I19" s="23" t="s">
        <v>155</v>
      </c>
      <c r="J19" s="86"/>
    </row>
    <row r="20" spans="1:11" ht="27" customHeight="1">
      <c r="A20" s="24"/>
      <c r="B20" s="22"/>
      <c r="C20" s="157"/>
      <c r="D20" s="157" t="s">
        <v>209</v>
      </c>
      <c r="E20" s="157"/>
      <c r="F20" s="159">
        <f>(14.8)*1.1*3.1*0.5</f>
        <v>25.234000000000002</v>
      </c>
      <c r="G20" s="80"/>
      <c r="H20" s="80"/>
      <c r="I20" s="23"/>
      <c r="J20" s="86"/>
    </row>
    <row r="21" spans="1:11" ht="27" customHeight="1">
      <c r="A21" s="24"/>
      <c r="B21" s="22"/>
      <c r="C21" s="157"/>
      <c r="D21" s="157" t="s">
        <v>210</v>
      </c>
      <c r="E21" s="157"/>
      <c r="F21" s="159">
        <f>(12.6)*1.1*1.95*0.5</f>
        <v>13.513500000000001</v>
      </c>
      <c r="G21" s="80"/>
      <c r="H21" s="80"/>
      <c r="I21" s="23"/>
      <c r="J21" s="86"/>
    </row>
    <row r="22" spans="1:11" ht="27" customHeight="1">
      <c r="A22" s="24"/>
      <c r="B22" s="22"/>
      <c r="C22" s="157"/>
      <c r="D22" s="157" t="s">
        <v>211</v>
      </c>
      <c r="E22" s="157"/>
      <c r="F22" s="159">
        <f>(13.6)*1.1*1.8*0.5</f>
        <v>13.464</v>
      </c>
      <c r="G22" s="80"/>
      <c r="H22" s="80"/>
      <c r="I22" s="23"/>
      <c r="J22" s="86"/>
    </row>
    <row r="23" spans="1:11" ht="27" customHeight="1">
      <c r="A23" s="24"/>
      <c r="B23" s="22"/>
      <c r="C23" s="157"/>
      <c r="D23" s="157" t="s">
        <v>212</v>
      </c>
      <c r="E23" s="157"/>
      <c r="F23" s="159">
        <f>(23.3)*1.1*1.7*0.5</f>
        <v>21.785500000000003</v>
      </c>
      <c r="G23" s="80"/>
      <c r="H23" s="80"/>
      <c r="I23" s="23"/>
      <c r="J23" s="86"/>
    </row>
    <row r="24" spans="1:11" ht="27" customHeight="1">
      <c r="A24" s="24"/>
      <c r="B24" s="22"/>
      <c r="C24" s="157"/>
      <c r="D24" s="157" t="s">
        <v>213</v>
      </c>
      <c r="E24" s="157"/>
      <c r="F24" s="159">
        <f>(15.9)*1.1*1.95*0.5</f>
        <v>17.052750000000003</v>
      </c>
      <c r="G24" s="80"/>
      <c r="H24" s="80"/>
      <c r="I24" s="23"/>
      <c r="J24" s="86"/>
    </row>
    <row r="25" spans="1:11" ht="27" customHeight="1">
      <c r="A25" s="24"/>
      <c r="B25" s="22"/>
      <c r="C25" s="157"/>
      <c r="D25" s="157" t="s">
        <v>214</v>
      </c>
      <c r="E25" s="157"/>
      <c r="F25" s="159">
        <f>(12.4)*1.1*1.9*0.5</f>
        <v>12.958000000000002</v>
      </c>
      <c r="G25" s="80"/>
      <c r="H25" s="80"/>
      <c r="I25" s="23"/>
      <c r="J25" s="86"/>
    </row>
    <row r="26" spans="1:11" ht="27" customHeight="1">
      <c r="A26" s="24"/>
      <c r="B26" s="22"/>
      <c r="C26" s="157"/>
      <c r="D26" s="157" t="s">
        <v>215</v>
      </c>
      <c r="E26" s="157"/>
      <c r="F26" s="159">
        <f>(7.4)*1.1*1.9*0.5</f>
        <v>7.7330000000000005</v>
      </c>
      <c r="G26" s="80"/>
      <c r="H26" s="80"/>
      <c r="I26" s="23"/>
      <c r="J26" s="86"/>
    </row>
    <row r="27" spans="1:11" ht="27" customHeight="1">
      <c r="A27" s="24"/>
      <c r="B27" s="22"/>
      <c r="C27" s="157"/>
      <c r="D27" s="157" t="s">
        <v>216</v>
      </c>
      <c r="E27" s="157"/>
      <c r="F27" s="159">
        <f>(3.7)*1.1*1.75*0.5</f>
        <v>3.5612500000000002</v>
      </c>
      <c r="G27" s="80"/>
      <c r="H27" s="80"/>
      <c r="I27" s="23"/>
      <c r="J27" s="86"/>
    </row>
    <row r="28" spans="1:11" ht="27" customHeight="1">
      <c r="A28" s="24"/>
      <c r="B28" s="22"/>
      <c r="C28" s="157"/>
      <c r="D28" s="157" t="s">
        <v>217</v>
      </c>
      <c r="E28" s="157"/>
      <c r="F28" s="159">
        <f>(9)*1.1*1.95*0.5</f>
        <v>9.6524999999999999</v>
      </c>
      <c r="G28" s="190"/>
      <c r="H28" s="80"/>
      <c r="I28" s="23"/>
      <c r="J28" s="86"/>
    </row>
    <row r="29" spans="1:11" ht="13.5" customHeight="1">
      <c r="A29" s="24"/>
      <c r="B29" s="22"/>
      <c r="C29" s="157"/>
      <c r="D29" s="157" t="s">
        <v>218</v>
      </c>
      <c r="E29" s="157"/>
      <c r="F29" s="159">
        <f>2*2*3.05*0.5</f>
        <v>6.1</v>
      </c>
      <c r="G29" s="80"/>
      <c r="H29" s="80"/>
      <c r="I29" s="23"/>
      <c r="J29" s="86"/>
    </row>
    <row r="30" spans="1:11" ht="13.5" customHeight="1">
      <c r="A30" s="24"/>
      <c r="B30" s="22"/>
      <c r="C30" s="157"/>
      <c r="D30" s="157" t="s">
        <v>219</v>
      </c>
      <c r="E30" s="157"/>
      <c r="F30" s="159">
        <f>2*2*2.05*0.5</f>
        <v>4.0999999999999996</v>
      </c>
      <c r="G30" s="80"/>
      <c r="H30" s="80"/>
      <c r="I30" s="23"/>
      <c r="J30" s="86"/>
    </row>
    <row r="31" spans="1:11" ht="13.5" customHeight="1">
      <c r="A31" s="24"/>
      <c r="B31" s="22"/>
      <c r="C31" s="157"/>
      <c r="D31" s="157" t="s">
        <v>220</v>
      </c>
      <c r="E31" s="157"/>
      <c r="F31" s="159">
        <f>2*2*1.85*0.5</f>
        <v>3.7</v>
      </c>
      <c r="G31" s="80"/>
      <c r="H31" s="80"/>
      <c r="I31" s="23"/>
      <c r="J31" s="86"/>
    </row>
    <row r="32" spans="1:11" ht="13.5" customHeight="1">
      <c r="A32" s="24"/>
      <c r="B32" s="22"/>
      <c r="C32" s="157"/>
      <c r="D32" s="157" t="s">
        <v>221</v>
      </c>
      <c r="E32" s="157"/>
      <c r="F32" s="159">
        <f>2*2*1.75*0.5</f>
        <v>3.5</v>
      </c>
      <c r="G32" s="80"/>
      <c r="H32" s="80"/>
      <c r="I32" s="23"/>
      <c r="J32" s="86"/>
      <c r="K32" s="191"/>
    </row>
    <row r="33" spans="1:10" ht="13.5" customHeight="1">
      <c r="A33" s="24"/>
      <c r="B33" s="22"/>
      <c r="C33" s="157"/>
      <c r="D33" s="157" t="s">
        <v>222</v>
      </c>
      <c r="E33" s="157"/>
      <c r="F33" s="159">
        <f>2*2*1.65*0.5</f>
        <v>3.3</v>
      </c>
      <c r="G33" s="80"/>
      <c r="H33" s="80"/>
      <c r="I33" s="23"/>
      <c r="J33" s="86"/>
    </row>
    <row r="34" spans="1:10" ht="13.5" customHeight="1">
      <c r="A34" s="24"/>
      <c r="B34" s="22"/>
      <c r="C34" s="157"/>
      <c r="D34" s="157" t="s">
        <v>239</v>
      </c>
      <c r="E34" s="157"/>
      <c r="F34" s="159">
        <f>(2*2*1.9*0.5)*2</f>
        <v>7.6</v>
      </c>
      <c r="G34" s="190"/>
      <c r="H34" s="80"/>
      <c r="I34" s="23"/>
      <c r="J34" s="86"/>
    </row>
    <row r="35" spans="1:10" ht="13.5" customHeight="1">
      <c r="A35" s="24"/>
      <c r="B35" s="22"/>
      <c r="C35" s="157"/>
      <c r="D35" s="157" t="s">
        <v>286</v>
      </c>
      <c r="E35" s="157"/>
      <c r="F35" s="159">
        <f>2*2*1.9*0.5</f>
        <v>3.8</v>
      </c>
      <c r="G35" s="80"/>
      <c r="H35" s="80"/>
      <c r="I35" s="23"/>
      <c r="J35" s="86"/>
    </row>
    <row r="36" spans="1:10" ht="13.5" customHeight="1">
      <c r="A36" s="184">
        <v>8</v>
      </c>
      <c r="B36" s="22" t="s">
        <v>18</v>
      </c>
      <c r="C36" s="22">
        <v>132201209</v>
      </c>
      <c r="D36" s="22" t="s">
        <v>23</v>
      </c>
      <c r="E36" s="22" t="s">
        <v>22</v>
      </c>
      <c r="F36" s="189">
        <f>SUM(F37)</f>
        <v>78.525000000000006</v>
      </c>
      <c r="G36" s="71"/>
      <c r="H36" s="75">
        <f>F36*G36</f>
        <v>0</v>
      </c>
      <c r="I36" s="23" t="s">
        <v>155</v>
      </c>
      <c r="J36" s="86"/>
    </row>
    <row r="37" spans="1:10" ht="13.5" customHeight="1">
      <c r="A37" s="24"/>
      <c r="B37" s="22"/>
      <c r="C37" s="77"/>
      <c r="D37" s="77" t="s">
        <v>288</v>
      </c>
      <c r="E37" s="77"/>
      <c r="F37" s="90">
        <f>157.05*0.5</f>
        <v>78.525000000000006</v>
      </c>
      <c r="G37" s="80"/>
      <c r="H37" s="80"/>
      <c r="I37" s="23"/>
      <c r="J37" s="86"/>
    </row>
    <row r="38" spans="1:10" ht="13.5" customHeight="1">
      <c r="A38" s="184">
        <v>9</v>
      </c>
      <c r="B38" s="22" t="s">
        <v>18</v>
      </c>
      <c r="C38" s="185">
        <v>132301202</v>
      </c>
      <c r="D38" s="185" t="s">
        <v>227</v>
      </c>
      <c r="E38" s="22" t="s">
        <v>22</v>
      </c>
      <c r="F38" s="189">
        <f>SUM(F39:F54)</f>
        <v>157.05450000000002</v>
      </c>
      <c r="G38" s="71"/>
      <c r="H38" s="75">
        <f>F38*G38</f>
        <v>0</v>
      </c>
      <c r="I38" s="23" t="s">
        <v>155</v>
      </c>
      <c r="J38" s="86"/>
    </row>
    <row r="39" spans="1:10" ht="27" customHeight="1">
      <c r="A39" s="24"/>
      <c r="B39" s="22"/>
      <c r="C39" s="157"/>
      <c r="D39" s="157" t="s">
        <v>209</v>
      </c>
      <c r="E39" s="157"/>
      <c r="F39" s="159">
        <f>(14.8)*1.1*3.1*0.5</f>
        <v>25.234000000000002</v>
      </c>
      <c r="G39" s="80"/>
      <c r="H39" s="80"/>
      <c r="I39" s="23"/>
      <c r="J39" s="203"/>
    </row>
    <row r="40" spans="1:10" ht="27" customHeight="1">
      <c r="A40" s="24"/>
      <c r="B40" s="22"/>
      <c r="C40" s="157"/>
      <c r="D40" s="157" t="s">
        <v>210</v>
      </c>
      <c r="E40" s="157"/>
      <c r="F40" s="159">
        <f>(12.6)*1.1*1.95*0.5</f>
        <v>13.513500000000001</v>
      </c>
      <c r="G40" s="80"/>
      <c r="H40" s="80"/>
      <c r="I40" s="23"/>
      <c r="J40" s="203"/>
    </row>
    <row r="41" spans="1:10" ht="27" customHeight="1">
      <c r="A41" s="24"/>
      <c r="B41" s="22"/>
      <c r="C41" s="157"/>
      <c r="D41" s="157" t="s">
        <v>211</v>
      </c>
      <c r="E41" s="157"/>
      <c r="F41" s="159">
        <f>(13.6)*1.1*1.8*0.5</f>
        <v>13.464</v>
      </c>
      <c r="G41" s="80"/>
      <c r="H41" s="80"/>
      <c r="I41" s="23"/>
      <c r="J41" s="86"/>
    </row>
    <row r="42" spans="1:10" ht="27" customHeight="1">
      <c r="A42" s="24"/>
      <c r="B42" s="22"/>
      <c r="C42" s="157"/>
      <c r="D42" s="157" t="s">
        <v>212</v>
      </c>
      <c r="E42" s="157"/>
      <c r="F42" s="159">
        <f>(23.3)*1.1*1.7*0.5</f>
        <v>21.785500000000003</v>
      </c>
      <c r="G42" s="80"/>
      <c r="H42" s="80"/>
      <c r="I42" s="23"/>
      <c r="J42" s="203"/>
    </row>
    <row r="43" spans="1:10" ht="27" customHeight="1">
      <c r="A43" s="24"/>
      <c r="B43" s="22"/>
      <c r="C43" s="157"/>
      <c r="D43" s="157" t="s">
        <v>213</v>
      </c>
      <c r="E43" s="157"/>
      <c r="F43" s="159">
        <f>(15.9)*1.1*1.95*0.5</f>
        <v>17.052750000000003</v>
      </c>
      <c r="G43" s="80"/>
      <c r="H43" s="80"/>
      <c r="I43" s="23"/>
      <c r="J43" s="86"/>
    </row>
    <row r="44" spans="1:10" ht="27" customHeight="1">
      <c r="A44" s="24"/>
      <c r="B44" s="22"/>
      <c r="C44" s="157"/>
      <c r="D44" s="157" t="s">
        <v>214</v>
      </c>
      <c r="E44" s="157"/>
      <c r="F44" s="159">
        <f>(12.4)*1.1*1.9*0.5</f>
        <v>12.958000000000002</v>
      </c>
      <c r="G44" s="80"/>
      <c r="H44" s="80"/>
      <c r="I44" s="23"/>
      <c r="J44" s="86"/>
    </row>
    <row r="45" spans="1:10" ht="27" customHeight="1">
      <c r="A45" s="24"/>
      <c r="B45" s="22"/>
      <c r="C45" s="157"/>
      <c r="D45" s="157" t="s">
        <v>215</v>
      </c>
      <c r="E45" s="157"/>
      <c r="F45" s="159">
        <f>(7.4)*1.1*1.9*0.5</f>
        <v>7.7330000000000005</v>
      </c>
      <c r="G45" s="80"/>
      <c r="H45" s="80"/>
      <c r="I45" s="23"/>
      <c r="J45" s="86"/>
    </row>
    <row r="46" spans="1:10" ht="27" customHeight="1">
      <c r="A46" s="24"/>
      <c r="B46" s="22"/>
      <c r="C46" s="157"/>
      <c r="D46" s="157" t="s">
        <v>216</v>
      </c>
      <c r="E46" s="157"/>
      <c r="F46" s="159">
        <f>(3.7)*1.1*1.75*0.5</f>
        <v>3.5612500000000002</v>
      </c>
      <c r="G46" s="80"/>
      <c r="H46" s="80"/>
      <c r="I46" s="23"/>
      <c r="J46" s="86"/>
    </row>
    <row r="47" spans="1:10" ht="27" customHeight="1">
      <c r="A47" s="24"/>
      <c r="B47" s="22"/>
      <c r="C47" s="157"/>
      <c r="D47" s="157" t="s">
        <v>217</v>
      </c>
      <c r="E47" s="157"/>
      <c r="F47" s="159">
        <f>(9)*1.1*1.95*0.5</f>
        <v>9.6524999999999999</v>
      </c>
      <c r="G47" s="190"/>
      <c r="H47" s="80"/>
      <c r="I47" s="23"/>
      <c r="J47" s="86"/>
    </row>
    <row r="48" spans="1:10" ht="13.5" customHeight="1">
      <c r="A48" s="24"/>
      <c r="B48" s="22"/>
      <c r="C48" s="157"/>
      <c r="D48" s="157" t="s">
        <v>218</v>
      </c>
      <c r="E48" s="157"/>
      <c r="F48" s="159">
        <f>2*2*3.05*0.5</f>
        <v>6.1</v>
      </c>
      <c r="G48" s="80"/>
      <c r="H48" s="80"/>
      <c r="I48" s="23"/>
      <c r="J48" s="86"/>
    </row>
    <row r="49" spans="1:11" ht="13.5" customHeight="1">
      <c r="A49" s="24"/>
      <c r="B49" s="22"/>
      <c r="C49" s="157"/>
      <c r="D49" s="157" t="s">
        <v>219</v>
      </c>
      <c r="E49" s="157"/>
      <c r="F49" s="159">
        <f>2*2*2.05*0.5</f>
        <v>4.0999999999999996</v>
      </c>
      <c r="G49" s="80"/>
      <c r="H49" s="80"/>
      <c r="I49" s="23"/>
      <c r="J49" s="86"/>
    </row>
    <row r="50" spans="1:11" ht="13.5" customHeight="1">
      <c r="A50" s="24"/>
      <c r="B50" s="22"/>
      <c r="C50" s="77"/>
      <c r="D50" s="157" t="s">
        <v>220</v>
      </c>
      <c r="E50" s="157"/>
      <c r="F50" s="159">
        <f>2*2*1.85*0.5</f>
        <v>3.7</v>
      </c>
      <c r="G50" s="80"/>
      <c r="H50" s="80"/>
      <c r="I50" s="23"/>
      <c r="J50" s="86"/>
    </row>
    <row r="51" spans="1:11" ht="13.5" customHeight="1">
      <c r="A51" s="24"/>
      <c r="B51" s="22"/>
      <c r="C51" s="77"/>
      <c r="D51" s="157" t="s">
        <v>221</v>
      </c>
      <c r="E51" s="157"/>
      <c r="F51" s="159">
        <f>2*2*1.75*0.5</f>
        <v>3.5</v>
      </c>
      <c r="G51" s="80"/>
      <c r="H51" s="80"/>
      <c r="I51" s="23"/>
      <c r="J51" s="86"/>
      <c r="K51" s="191"/>
    </row>
    <row r="52" spans="1:11" ht="13.5" customHeight="1">
      <c r="A52" s="24"/>
      <c r="B52" s="22"/>
      <c r="C52" s="77"/>
      <c r="D52" s="157" t="s">
        <v>222</v>
      </c>
      <c r="E52" s="157"/>
      <c r="F52" s="159">
        <f>2*2*1.65*0.5</f>
        <v>3.3</v>
      </c>
      <c r="G52" s="80"/>
      <c r="H52" s="80"/>
      <c r="I52" s="23"/>
      <c r="J52" s="86"/>
    </row>
    <row r="53" spans="1:11" ht="13.5" customHeight="1">
      <c r="A53" s="24"/>
      <c r="B53" s="22"/>
      <c r="C53" s="77"/>
      <c r="D53" s="157" t="s">
        <v>239</v>
      </c>
      <c r="E53" s="157"/>
      <c r="F53" s="159">
        <f>(2*2*1.9*0.5)*2</f>
        <v>7.6</v>
      </c>
      <c r="G53" s="190"/>
      <c r="H53" s="80"/>
      <c r="I53" s="23"/>
      <c r="J53" s="86"/>
    </row>
    <row r="54" spans="1:11" ht="13.5" customHeight="1">
      <c r="A54" s="24"/>
      <c r="B54" s="22"/>
      <c r="C54" s="77"/>
      <c r="D54" s="157" t="s">
        <v>286</v>
      </c>
      <c r="E54" s="157"/>
      <c r="F54" s="159">
        <f>2*2*1.9*0.5</f>
        <v>3.8</v>
      </c>
      <c r="G54" s="80"/>
      <c r="H54" s="80"/>
      <c r="I54" s="23"/>
      <c r="J54" s="86"/>
    </row>
    <row r="55" spans="1:11" ht="13.5" customHeight="1">
      <c r="A55" s="184">
        <v>10</v>
      </c>
      <c r="B55" s="22" t="s">
        <v>18</v>
      </c>
      <c r="C55" s="22">
        <v>132301209</v>
      </c>
      <c r="D55" s="156" t="s">
        <v>66</v>
      </c>
      <c r="E55" s="156" t="s">
        <v>22</v>
      </c>
      <c r="F55" s="205">
        <f>SUM(F56)</f>
        <v>78.525000000000006</v>
      </c>
      <c r="G55" s="71"/>
      <c r="H55" s="75">
        <f>F55*G55</f>
        <v>0</v>
      </c>
      <c r="I55" s="23" t="s">
        <v>155</v>
      </c>
      <c r="J55" s="86"/>
    </row>
    <row r="56" spans="1:11" ht="13.5" customHeight="1">
      <c r="A56" s="24"/>
      <c r="B56" s="22"/>
      <c r="C56" s="77"/>
      <c r="D56" s="157" t="s">
        <v>288</v>
      </c>
      <c r="E56" s="157"/>
      <c r="F56" s="159">
        <f>157.05*0.5</f>
        <v>78.525000000000006</v>
      </c>
      <c r="G56" s="80"/>
      <c r="H56" s="80"/>
      <c r="I56" s="23"/>
      <c r="J56" s="86"/>
    </row>
    <row r="57" spans="1:11" ht="13.5" customHeight="1">
      <c r="A57" s="184">
        <v>11</v>
      </c>
      <c r="B57" s="22" t="s">
        <v>18</v>
      </c>
      <c r="C57" s="22">
        <v>151101101</v>
      </c>
      <c r="D57" s="156" t="s">
        <v>60</v>
      </c>
      <c r="E57" s="156" t="s">
        <v>24</v>
      </c>
      <c r="F57" s="205">
        <f>SUM(F58:F70)</f>
        <v>360.17599999999999</v>
      </c>
      <c r="G57" s="71"/>
      <c r="H57" s="75">
        <f>F57*G57</f>
        <v>0</v>
      </c>
      <c r="I57" s="23" t="s">
        <v>155</v>
      </c>
      <c r="J57" s="86"/>
    </row>
    <row r="58" spans="1:11" ht="13.5" customHeight="1">
      <c r="A58" s="24"/>
      <c r="B58" s="22"/>
      <c r="C58" s="77"/>
      <c r="D58" s="157" t="s">
        <v>228</v>
      </c>
      <c r="E58" s="157"/>
      <c r="F58" s="159">
        <f>(12.6)*1.95*2*0.8</f>
        <v>39.312000000000005</v>
      </c>
      <c r="G58" s="80"/>
      <c r="H58" s="80"/>
      <c r="I58" s="23"/>
      <c r="J58" s="86"/>
    </row>
    <row r="59" spans="1:11" ht="13.5" customHeight="1">
      <c r="A59" s="24"/>
      <c r="B59" s="22"/>
      <c r="C59" s="77"/>
      <c r="D59" s="157" t="s">
        <v>229</v>
      </c>
      <c r="E59" s="157"/>
      <c r="F59" s="159">
        <f>(13.6)*1.8*2*0.8</f>
        <v>39.168000000000006</v>
      </c>
      <c r="G59" s="80"/>
      <c r="H59" s="80"/>
      <c r="I59" s="23"/>
      <c r="J59" s="86"/>
    </row>
    <row r="60" spans="1:11" ht="13.5" customHeight="1">
      <c r="A60" s="24"/>
      <c r="B60" s="22"/>
      <c r="C60" s="77"/>
      <c r="D60" s="157" t="s">
        <v>230</v>
      </c>
      <c r="E60" s="157"/>
      <c r="F60" s="159">
        <f>(23.3)*1.7*2*0.8</f>
        <v>63.376000000000005</v>
      </c>
      <c r="G60" s="80"/>
      <c r="H60" s="80"/>
      <c r="I60" s="23"/>
      <c r="J60" s="86"/>
    </row>
    <row r="61" spans="1:11" ht="13.5" customHeight="1">
      <c r="A61" s="24"/>
      <c r="B61" s="22"/>
      <c r="C61" s="77"/>
      <c r="D61" s="157" t="s">
        <v>231</v>
      </c>
      <c r="E61" s="157"/>
      <c r="F61" s="159">
        <f>(15.9)*1.95*2*0.8</f>
        <v>49.608000000000004</v>
      </c>
      <c r="G61" s="80"/>
      <c r="H61" s="80"/>
      <c r="I61" s="23"/>
      <c r="J61" s="86"/>
    </row>
    <row r="62" spans="1:11" ht="13.5" customHeight="1">
      <c r="A62" s="24"/>
      <c r="B62" s="22"/>
      <c r="C62" s="77"/>
      <c r="D62" s="157" t="s">
        <v>232</v>
      </c>
      <c r="E62" s="157"/>
      <c r="F62" s="159">
        <f>(12.4)*1.9*2*0.8</f>
        <v>37.695999999999998</v>
      </c>
      <c r="G62" s="80"/>
      <c r="H62" s="80"/>
      <c r="I62" s="23"/>
      <c r="J62" s="86"/>
    </row>
    <row r="63" spans="1:11" ht="13.5" customHeight="1">
      <c r="A63" s="24"/>
      <c r="B63" s="22"/>
      <c r="C63" s="77"/>
      <c r="D63" s="157" t="s">
        <v>233</v>
      </c>
      <c r="E63" s="157"/>
      <c r="F63" s="159">
        <f>(7.4)*1.9*2*0.8</f>
        <v>22.496000000000002</v>
      </c>
      <c r="G63" s="80"/>
      <c r="H63" s="80"/>
      <c r="I63" s="23"/>
      <c r="J63" s="86"/>
    </row>
    <row r="64" spans="1:11" ht="13.5" customHeight="1">
      <c r="A64" s="24"/>
      <c r="B64" s="22"/>
      <c r="C64" s="77"/>
      <c r="D64" s="157" t="s">
        <v>234</v>
      </c>
      <c r="E64" s="157"/>
      <c r="F64" s="159">
        <f>(3.7)*1.75*2*0.8</f>
        <v>10.360000000000001</v>
      </c>
      <c r="G64" s="80"/>
      <c r="H64" s="80"/>
      <c r="I64" s="23"/>
      <c r="J64" s="86"/>
    </row>
    <row r="65" spans="1:11" ht="13.5" customHeight="1">
      <c r="A65" s="24"/>
      <c r="B65" s="22"/>
      <c r="C65" s="77"/>
      <c r="D65" s="157" t="s">
        <v>235</v>
      </c>
      <c r="E65" s="157"/>
      <c r="F65" s="159">
        <f>(9)*1.95*2*0.8</f>
        <v>28.080000000000002</v>
      </c>
      <c r="G65" s="190"/>
      <c r="H65" s="80"/>
      <c r="I65" s="23"/>
      <c r="J65" s="86"/>
    </row>
    <row r="66" spans="1:11" ht="13.5" customHeight="1">
      <c r="A66" s="24"/>
      <c r="B66" s="22"/>
      <c r="C66" s="77"/>
      <c r="D66" s="157" t="s">
        <v>236</v>
      </c>
      <c r="E66" s="157"/>
      <c r="F66" s="159">
        <f>2*1.85*4*0.8</f>
        <v>11.840000000000002</v>
      </c>
      <c r="G66" s="80"/>
      <c r="H66" s="80"/>
      <c r="I66" s="23"/>
      <c r="J66" s="86"/>
    </row>
    <row r="67" spans="1:11" ht="13.5" customHeight="1">
      <c r="A67" s="24"/>
      <c r="B67" s="22"/>
      <c r="C67" s="77"/>
      <c r="D67" s="157" t="s">
        <v>237</v>
      </c>
      <c r="E67" s="157"/>
      <c r="F67" s="159">
        <f>2*1.75*4*0.8</f>
        <v>11.200000000000001</v>
      </c>
      <c r="G67" s="80"/>
      <c r="H67" s="80"/>
      <c r="I67" s="23"/>
      <c r="J67" s="86"/>
      <c r="K67" s="191"/>
    </row>
    <row r="68" spans="1:11" ht="13.5" customHeight="1">
      <c r="A68" s="24"/>
      <c r="B68" s="22"/>
      <c r="C68" s="77"/>
      <c r="D68" s="157" t="s">
        <v>238</v>
      </c>
      <c r="E68" s="157"/>
      <c r="F68" s="159">
        <f>2*1.65*4*0.8</f>
        <v>10.56</v>
      </c>
      <c r="G68" s="80"/>
      <c r="H68" s="80"/>
      <c r="I68" s="23"/>
      <c r="J68" s="86"/>
    </row>
    <row r="69" spans="1:11" ht="13.5" customHeight="1">
      <c r="A69" s="24"/>
      <c r="B69" s="22"/>
      <c r="C69" s="77"/>
      <c r="D69" s="157" t="s">
        <v>240</v>
      </c>
      <c r="E69" s="157"/>
      <c r="F69" s="159">
        <f>2*1.9*4*2*0.8</f>
        <v>24.32</v>
      </c>
      <c r="G69" s="190"/>
      <c r="H69" s="80"/>
      <c r="I69" s="23"/>
      <c r="J69" s="86"/>
    </row>
    <row r="70" spans="1:11" ht="13.5" customHeight="1">
      <c r="A70" s="24"/>
      <c r="B70" s="22"/>
      <c r="C70" s="77"/>
      <c r="D70" s="157" t="s">
        <v>289</v>
      </c>
      <c r="E70" s="157"/>
      <c r="F70" s="159">
        <f>2*1.9*4*0.8</f>
        <v>12.16</v>
      </c>
      <c r="G70" s="80"/>
      <c r="H70" s="80"/>
      <c r="I70" s="23"/>
      <c r="J70" s="86"/>
    </row>
    <row r="71" spans="1:11" ht="13.5" customHeight="1">
      <c r="A71" s="184">
        <v>12</v>
      </c>
      <c r="B71" s="22" t="s">
        <v>18</v>
      </c>
      <c r="C71" s="22">
        <v>151101102</v>
      </c>
      <c r="D71" s="156" t="s">
        <v>69</v>
      </c>
      <c r="E71" s="156" t="s">
        <v>24</v>
      </c>
      <c r="F71" s="205">
        <f>SUM(F73:F75)</f>
        <v>106.048</v>
      </c>
      <c r="G71" s="71"/>
      <c r="H71" s="75">
        <f>F71*G71</f>
        <v>0</v>
      </c>
      <c r="I71" s="23" t="s">
        <v>155</v>
      </c>
    </row>
    <row r="72" spans="1:11" ht="13.5" customHeight="1">
      <c r="A72" s="24"/>
      <c r="B72" s="22"/>
      <c r="C72" s="22"/>
      <c r="D72" s="157" t="s">
        <v>160</v>
      </c>
      <c r="E72" s="156"/>
      <c r="F72" s="206"/>
      <c r="G72" s="75"/>
      <c r="H72" s="75"/>
      <c r="I72" s="23"/>
    </row>
    <row r="73" spans="1:11" ht="13.5" customHeight="1">
      <c r="A73" s="24"/>
      <c r="B73" s="22"/>
      <c r="C73" s="157"/>
      <c r="D73" s="157" t="s">
        <v>241</v>
      </c>
      <c r="E73" s="157"/>
      <c r="F73" s="159">
        <f>(14.8)*3.1*2*0.8</f>
        <v>73.408000000000001</v>
      </c>
      <c r="G73" s="80"/>
      <c r="H73" s="80"/>
      <c r="I73" s="23"/>
      <c r="J73" s="86"/>
    </row>
    <row r="74" spans="1:11" ht="13.5" customHeight="1">
      <c r="A74" s="24"/>
      <c r="B74" s="22"/>
      <c r="C74" s="157"/>
      <c r="D74" s="157" t="s">
        <v>242</v>
      </c>
      <c r="E74" s="157"/>
      <c r="F74" s="159">
        <f>2*3.05*4*0.8</f>
        <v>19.52</v>
      </c>
      <c r="G74" s="80"/>
      <c r="H74" s="80"/>
      <c r="I74" s="23"/>
      <c r="J74" s="86"/>
    </row>
    <row r="75" spans="1:11" ht="13.5" customHeight="1">
      <c r="A75" s="24"/>
      <c r="B75" s="22"/>
      <c r="C75" s="157"/>
      <c r="D75" s="157" t="s">
        <v>243</v>
      </c>
      <c r="E75" s="157"/>
      <c r="F75" s="159">
        <f>2*2.05*4*0.8</f>
        <v>13.12</v>
      </c>
      <c r="G75" s="80"/>
      <c r="H75" s="80"/>
      <c r="I75" s="23"/>
      <c r="J75" s="86"/>
    </row>
    <row r="76" spans="1:11" ht="13.5" customHeight="1">
      <c r="A76" s="184">
        <v>13</v>
      </c>
      <c r="B76" s="22" t="s">
        <v>18</v>
      </c>
      <c r="C76" s="22">
        <v>151101111</v>
      </c>
      <c r="D76" s="22" t="s">
        <v>67</v>
      </c>
      <c r="E76" s="22" t="s">
        <v>24</v>
      </c>
      <c r="F76" s="189">
        <f>F57</f>
        <v>360.17599999999999</v>
      </c>
      <c r="G76" s="71"/>
      <c r="H76" s="75">
        <f>F76*G76</f>
        <v>0</v>
      </c>
      <c r="I76" s="23" t="s">
        <v>155</v>
      </c>
    </row>
    <row r="77" spans="1:11">
      <c r="A77" s="184">
        <v>14</v>
      </c>
      <c r="B77" s="22" t="s">
        <v>18</v>
      </c>
      <c r="C77" s="22">
        <v>151101112</v>
      </c>
      <c r="D77" s="22" t="s">
        <v>70</v>
      </c>
      <c r="E77" s="22" t="s">
        <v>24</v>
      </c>
      <c r="F77" s="189">
        <f>F71</f>
        <v>106.048</v>
      </c>
      <c r="G77" s="71"/>
      <c r="H77" s="75">
        <f>F77*G77</f>
        <v>0</v>
      </c>
      <c r="I77" s="23" t="s">
        <v>155</v>
      </c>
    </row>
    <row r="78" spans="1:11" ht="13.5" customHeight="1">
      <c r="A78" s="184">
        <v>15</v>
      </c>
      <c r="B78" s="22" t="s">
        <v>18</v>
      </c>
      <c r="C78" s="22">
        <v>161101101</v>
      </c>
      <c r="D78" s="22" t="s">
        <v>61</v>
      </c>
      <c r="E78" s="22" t="s">
        <v>22</v>
      </c>
      <c r="F78" s="189">
        <f>SUM(F79)</f>
        <v>251.44</v>
      </c>
      <c r="G78" s="71"/>
      <c r="H78" s="75">
        <f>F78*G78</f>
        <v>0</v>
      </c>
      <c r="I78" s="23" t="s">
        <v>155</v>
      </c>
    </row>
    <row r="79" spans="1:11" ht="13.5" customHeight="1">
      <c r="A79" s="24"/>
      <c r="B79" s="22"/>
      <c r="C79" s="77"/>
      <c r="D79" s="77" t="s">
        <v>312</v>
      </c>
      <c r="E79" s="77"/>
      <c r="F79" s="90">
        <f>125.72+125.72</f>
        <v>251.44</v>
      </c>
      <c r="G79" s="80"/>
      <c r="H79" s="80"/>
      <c r="I79" s="23"/>
      <c r="J79" s="191"/>
    </row>
    <row r="80" spans="1:11" ht="13.5" customHeight="1">
      <c r="A80" s="207" t="s">
        <v>310</v>
      </c>
      <c r="B80" s="204" t="s">
        <v>18</v>
      </c>
      <c r="C80" s="204">
        <v>161101102</v>
      </c>
      <c r="D80" s="204" t="s">
        <v>311</v>
      </c>
      <c r="E80" s="204" t="s">
        <v>22</v>
      </c>
      <c r="F80" s="205">
        <f>SUM(F81)</f>
        <v>62.66</v>
      </c>
      <c r="G80" s="214"/>
      <c r="H80" s="215">
        <f>F80*G80</f>
        <v>0</v>
      </c>
      <c r="I80" s="216" t="s">
        <v>155</v>
      </c>
    </row>
    <row r="81" spans="1:11" ht="13.5" customHeight="1">
      <c r="A81" s="209"/>
      <c r="B81" s="156"/>
      <c r="C81" s="157"/>
      <c r="D81" s="157" t="s">
        <v>313</v>
      </c>
      <c r="E81" s="157"/>
      <c r="F81" s="159">
        <f>31.33+31.33</f>
        <v>62.66</v>
      </c>
      <c r="G81" s="210"/>
      <c r="H81" s="210"/>
      <c r="I81" s="172"/>
      <c r="J81" s="191"/>
    </row>
    <row r="82" spans="1:11" s="88" customFormat="1" ht="13.5" customHeight="1">
      <c r="A82" s="87" t="s">
        <v>157</v>
      </c>
      <c r="B82" s="22" t="s">
        <v>18</v>
      </c>
      <c r="C82" s="22">
        <v>171201101</v>
      </c>
      <c r="D82" s="22" t="s">
        <v>99</v>
      </c>
      <c r="E82" s="22" t="s">
        <v>22</v>
      </c>
      <c r="F82" s="74">
        <f>F83</f>
        <v>2.2770000000000001</v>
      </c>
      <c r="G82" s="71"/>
      <c r="H82" s="75">
        <f>F82*G82</f>
        <v>0</v>
      </c>
      <c r="I82" s="23" t="s">
        <v>155</v>
      </c>
      <c r="K82" s="84"/>
    </row>
    <row r="83" spans="1:11" s="91" customFormat="1" ht="13.5" customHeight="1">
      <c r="A83" s="24"/>
      <c r="B83" s="89"/>
      <c r="C83" s="22"/>
      <c r="D83" s="77" t="s">
        <v>100</v>
      </c>
      <c r="E83" s="22"/>
      <c r="F83" s="90">
        <f>F15</f>
        <v>2.2770000000000001</v>
      </c>
      <c r="G83" s="75"/>
      <c r="H83" s="75"/>
      <c r="I83" s="23"/>
      <c r="K83" s="84"/>
    </row>
    <row r="84" spans="1:11" ht="13.5" customHeight="1">
      <c r="A84" s="207">
        <v>17</v>
      </c>
      <c r="B84" s="156" t="s">
        <v>18</v>
      </c>
      <c r="C84" s="156">
        <v>174101101</v>
      </c>
      <c r="D84" s="156" t="s">
        <v>25</v>
      </c>
      <c r="E84" s="156" t="s">
        <v>22</v>
      </c>
      <c r="F84" s="205">
        <f>SUM(F85:F100)</f>
        <v>242.96450000000002</v>
      </c>
      <c r="G84" s="192"/>
      <c r="H84" s="208">
        <f>F84*G84</f>
        <v>0</v>
      </c>
      <c r="I84" s="172" t="s">
        <v>155</v>
      </c>
    </row>
    <row r="85" spans="1:11" ht="13.5" customHeight="1">
      <c r="A85" s="209"/>
      <c r="B85" s="156"/>
      <c r="C85" s="157"/>
      <c r="D85" s="157" t="s">
        <v>270</v>
      </c>
      <c r="E85" s="157"/>
      <c r="F85" s="159">
        <f>(14.8)*1.1*(3.1-0.3-0.15)</f>
        <v>43.14200000000001</v>
      </c>
      <c r="G85" s="210"/>
      <c r="H85" s="210"/>
      <c r="I85" s="172"/>
      <c r="J85" s="86"/>
    </row>
    <row r="86" spans="1:11" ht="13.5" customHeight="1">
      <c r="A86" s="209"/>
      <c r="B86" s="156"/>
      <c r="C86" s="157"/>
      <c r="D86" s="157" t="s">
        <v>271</v>
      </c>
      <c r="E86" s="157"/>
      <c r="F86" s="159">
        <f>(12.6)*1.1*(1.95-0.3-0.15)</f>
        <v>20.790000000000003</v>
      </c>
      <c r="G86" s="210"/>
      <c r="H86" s="210"/>
      <c r="I86" s="172"/>
      <c r="J86" s="86"/>
    </row>
    <row r="87" spans="1:11" ht="13.5" customHeight="1">
      <c r="A87" s="209"/>
      <c r="B87" s="156"/>
      <c r="C87" s="157"/>
      <c r="D87" s="157" t="s">
        <v>272</v>
      </c>
      <c r="E87" s="157"/>
      <c r="F87" s="159">
        <f>(13.6)*1.1*(1.8-0.3-0.15)</f>
        <v>20.196000000000002</v>
      </c>
      <c r="G87" s="210"/>
      <c r="H87" s="210"/>
      <c r="I87" s="172"/>
      <c r="J87" s="86"/>
    </row>
    <row r="88" spans="1:11" ht="13.5" customHeight="1">
      <c r="A88" s="209"/>
      <c r="B88" s="156"/>
      <c r="C88" s="157"/>
      <c r="D88" s="157" t="s">
        <v>273</v>
      </c>
      <c r="E88" s="157"/>
      <c r="F88" s="159">
        <f>(23.3)*1.1*(1.7-0.3-0.15)</f>
        <v>32.037500000000001</v>
      </c>
      <c r="G88" s="210"/>
      <c r="H88" s="210"/>
      <c r="I88" s="172"/>
      <c r="J88" s="86"/>
    </row>
    <row r="89" spans="1:11" ht="13.5" customHeight="1">
      <c r="A89" s="209"/>
      <c r="B89" s="156"/>
      <c r="C89" s="157"/>
      <c r="D89" s="157" t="s">
        <v>274</v>
      </c>
      <c r="E89" s="157"/>
      <c r="F89" s="159">
        <f>(15.9)*1.1*(1.95-0.3-0.15)</f>
        <v>26.235000000000003</v>
      </c>
      <c r="G89" s="210"/>
      <c r="H89" s="210"/>
      <c r="I89" s="172"/>
      <c r="J89" s="86"/>
    </row>
    <row r="90" spans="1:11" ht="13.5" customHeight="1">
      <c r="A90" s="209"/>
      <c r="B90" s="156"/>
      <c r="C90" s="157"/>
      <c r="D90" s="157" t="s">
        <v>275</v>
      </c>
      <c r="E90" s="157"/>
      <c r="F90" s="159">
        <f>(12.4)*1.1*(1.9-0.3-0.15)</f>
        <v>19.778000000000002</v>
      </c>
      <c r="G90" s="210"/>
      <c r="H90" s="210"/>
      <c r="I90" s="172"/>
      <c r="J90" s="86"/>
    </row>
    <row r="91" spans="1:11" ht="13.5" customHeight="1">
      <c r="A91" s="209"/>
      <c r="B91" s="156"/>
      <c r="C91" s="157"/>
      <c r="D91" s="157" t="s">
        <v>276</v>
      </c>
      <c r="E91" s="157"/>
      <c r="F91" s="159">
        <f>(7.4)*1.1*(1.9-0.3-0.15)</f>
        <v>11.803000000000001</v>
      </c>
      <c r="G91" s="210"/>
      <c r="H91" s="210"/>
      <c r="I91" s="172"/>
      <c r="J91" s="86"/>
    </row>
    <row r="92" spans="1:11" ht="13.5" customHeight="1">
      <c r="A92" s="209"/>
      <c r="B92" s="156"/>
      <c r="C92" s="157"/>
      <c r="D92" s="157" t="s">
        <v>277</v>
      </c>
      <c r="E92" s="157"/>
      <c r="F92" s="159">
        <f>(3.7)*1.1*(1.75-0.3-0.15)</f>
        <v>5.2910000000000004</v>
      </c>
      <c r="G92" s="210"/>
      <c r="H92" s="210"/>
      <c r="I92" s="172"/>
      <c r="J92" s="86"/>
    </row>
    <row r="93" spans="1:11" ht="13.5" customHeight="1">
      <c r="A93" s="209"/>
      <c r="B93" s="156"/>
      <c r="C93" s="157"/>
      <c r="D93" s="157" t="s">
        <v>278</v>
      </c>
      <c r="E93" s="157"/>
      <c r="F93" s="159">
        <f xml:space="preserve"> (9)*1.1*(1.95-0.3-0.15)</f>
        <v>14.850000000000001</v>
      </c>
      <c r="G93" s="211"/>
      <c r="H93" s="210"/>
      <c r="I93" s="172"/>
      <c r="J93" s="203"/>
    </row>
    <row r="94" spans="1:11" ht="13.5" customHeight="1">
      <c r="A94" s="209"/>
      <c r="B94" s="156"/>
      <c r="C94" s="157"/>
      <c r="D94" s="157" t="s">
        <v>279</v>
      </c>
      <c r="E94" s="157"/>
      <c r="F94" s="159">
        <f>2*2*(3.05-0.15)-2.278</f>
        <v>9.3219999999999992</v>
      </c>
      <c r="G94" s="210"/>
      <c r="H94" s="210"/>
      <c r="I94" s="172"/>
      <c r="J94" s="203"/>
    </row>
    <row r="95" spans="1:11" ht="13.5" customHeight="1">
      <c r="A95" s="209"/>
      <c r="B95" s="156"/>
      <c r="C95" s="157"/>
      <c r="D95" s="157" t="s">
        <v>280</v>
      </c>
      <c r="E95" s="157"/>
      <c r="F95" s="159">
        <f>2*2*(2.05-0.15)-1.492</f>
        <v>6.1079999999999997</v>
      </c>
      <c r="G95" s="210"/>
      <c r="H95" s="210"/>
      <c r="I95" s="172"/>
      <c r="J95" s="86"/>
    </row>
    <row r="96" spans="1:11" ht="13.5" customHeight="1">
      <c r="A96" s="209"/>
      <c r="B96" s="156"/>
      <c r="C96" s="157"/>
      <c r="D96" s="157" t="s">
        <v>281</v>
      </c>
      <c r="E96" s="157"/>
      <c r="F96" s="159">
        <f>2*2*(1.85-0.15)-1.335</f>
        <v>5.4650000000000007</v>
      </c>
      <c r="G96" s="210"/>
      <c r="H96" s="210"/>
      <c r="I96" s="172"/>
      <c r="J96" s="86"/>
    </row>
    <row r="97" spans="1:11" ht="13.5" customHeight="1">
      <c r="A97" s="209"/>
      <c r="B97" s="156"/>
      <c r="C97" s="157"/>
      <c r="D97" s="157" t="s">
        <v>282</v>
      </c>
      <c r="E97" s="157"/>
      <c r="F97" s="159">
        <f>2*2*(1.75-0.15)-1.257</f>
        <v>5.1430000000000007</v>
      </c>
      <c r="G97" s="210"/>
      <c r="H97" s="210"/>
      <c r="I97" s="172"/>
      <c r="J97" s="203"/>
      <c r="K97" s="191"/>
    </row>
    <row r="98" spans="1:11" ht="13.5" customHeight="1">
      <c r="A98" s="209"/>
      <c r="B98" s="156"/>
      <c r="C98" s="157"/>
      <c r="D98" s="157" t="s">
        <v>283</v>
      </c>
      <c r="E98" s="157"/>
      <c r="F98" s="159">
        <f>2*2*(1.65-0.15)-1.178</f>
        <v>4.8220000000000001</v>
      </c>
      <c r="G98" s="210"/>
      <c r="H98" s="210"/>
      <c r="I98" s="172"/>
      <c r="J98" s="86"/>
    </row>
    <row r="99" spans="1:11" ht="13.5" customHeight="1">
      <c r="A99" s="209"/>
      <c r="B99" s="156"/>
      <c r="C99" s="157"/>
      <c r="D99" s="157" t="s">
        <v>284</v>
      </c>
      <c r="E99" s="157"/>
      <c r="F99" s="159">
        <f>(2*2*(1.9-0.15)-1.374)*2</f>
        <v>11.251999999999999</v>
      </c>
      <c r="G99" s="211"/>
      <c r="H99" s="210"/>
      <c r="I99" s="172"/>
      <c r="J99" s="86"/>
    </row>
    <row r="100" spans="1:11" ht="13.5" customHeight="1">
      <c r="A100" s="209"/>
      <c r="B100" s="156"/>
      <c r="C100" s="157"/>
      <c r="D100" s="157" t="s">
        <v>290</v>
      </c>
      <c r="E100" s="157"/>
      <c r="F100" s="159">
        <f>2*2*(1.9-0.15)-0.27</f>
        <v>6.73</v>
      </c>
      <c r="G100" s="210"/>
      <c r="H100" s="210"/>
      <c r="I100" s="172"/>
      <c r="J100" s="86"/>
    </row>
    <row r="101" spans="1:11" s="88" customFormat="1" ht="13.5" customHeight="1">
      <c r="A101" s="193">
        <v>18</v>
      </c>
      <c r="B101" s="194">
        <v>583</v>
      </c>
      <c r="C101" s="194">
        <v>58343930</v>
      </c>
      <c r="D101" s="194" t="s">
        <v>26</v>
      </c>
      <c r="E101" s="194" t="s">
        <v>27</v>
      </c>
      <c r="F101" s="195">
        <f>SUM(F102:F103)</f>
        <v>485.92</v>
      </c>
      <c r="G101" s="196"/>
      <c r="H101" s="197">
        <f>F101*G101</f>
        <v>0</v>
      </c>
      <c r="I101" s="198" t="s">
        <v>155</v>
      </c>
    </row>
    <row r="102" spans="1:11" s="88" customFormat="1" ht="13.5" customHeight="1">
      <c r="A102" s="199"/>
      <c r="B102" s="194"/>
      <c r="C102" s="200"/>
      <c r="D102" s="200" t="s">
        <v>285</v>
      </c>
      <c r="E102" s="200"/>
      <c r="F102" s="201">
        <f>194.12*2</f>
        <v>388.24</v>
      </c>
      <c r="G102" s="202"/>
      <c r="H102" s="202"/>
      <c r="I102" s="198"/>
    </row>
    <row r="103" spans="1:11" s="88" customFormat="1" ht="13.5" customHeight="1">
      <c r="A103" s="199"/>
      <c r="B103" s="194"/>
      <c r="C103" s="200"/>
      <c r="D103" s="200" t="s">
        <v>291</v>
      </c>
      <c r="E103" s="200"/>
      <c r="F103" s="201">
        <f>(42.11+6.73)*2</f>
        <v>97.68</v>
      </c>
      <c r="G103" s="202"/>
      <c r="H103" s="202"/>
      <c r="I103" s="198"/>
    </row>
    <row r="104" spans="1:11" ht="13.5" customHeight="1">
      <c r="A104" s="207">
        <v>19</v>
      </c>
      <c r="B104" s="156" t="s">
        <v>18</v>
      </c>
      <c r="C104" s="156">
        <v>175111101</v>
      </c>
      <c r="D104" s="156" t="s">
        <v>28</v>
      </c>
      <c r="E104" s="156" t="s">
        <v>22</v>
      </c>
      <c r="F104" s="205">
        <f>SUM(F105:F113)</f>
        <v>37.191000000000003</v>
      </c>
      <c r="G104" s="192"/>
      <c r="H104" s="208">
        <f>F104*G104</f>
        <v>0</v>
      </c>
      <c r="I104" s="172" t="s">
        <v>155</v>
      </c>
    </row>
    <row r="105" spans="1:11" ht="13.5" customHeight="1">
      <c r="A105" s="209"/>
      <c r="B105" s="156"/>
      <c r="C105" s="157"/>
      <c r="D105" s="157" t="s">
        <v>260</v>
      </c>
      <c r="E105" s="157"/>
      <c r="F105" s="159">
        <f>(14.8)*1.1*0.3</f>
        <v>4.8840000000000003</v>
      </c>
      <c r="G105" s="210"/>
      <c r="H105" s="210"/>
      <c r="I105" s="172"/>
      <c r="J105" s="86"/>
    </row>
    <row r="106" spans="1:11" ht="13.5" customHeight="1">
      <c r="A106" s="209"/>
      <c r="B106" s="156"/>
      <c r="C106" s="157"/>
      <c r="D106" s="157" t="s">
        <v>261</v>
      </c>
      <c r="E106" s="157"/>
      <c r="F106" s="159">
        <f>(12.6)*1.1*0.3</f>
        <v>4.1580000000000004</v>
      </c>
      <c r="G106" s="210"/>
      <c r="H106" s="210"/>
      <c r="I106" s="172"/>
      <c r="J106" s="86"/>
    </row>
    <row r="107" spans="1:11" ht="13.5" customHeight="1">
      <c r="A107" s="209"/>
      <c r="B107" s="156"/>
      <c r="C107" s="157"/>
      <c r="D107" s="157" t="s">
        <v>262</v>
      </c>
      <c r="E107" s="157"/>
      <c r="F107" s="159">
        <f>(13.6)*1.1*0.3</f>
        <v>4.4880000000000004</v>
      </c>
      <c r="G107" s="210"/>
      <c r="H107" s="210"/>
      <c r="I107" s="172"/>
      <c r="J107" s="86"/>
    </row>
    <row r="108" spans="1:11" ht="13.5" customHeight="1">
      <c r="A108" s="209"/>
      <c r="B108" s="156"/>
      <c r="C108" s="157"/>
      <c r="D108" s="157" t="s">
        <v>263</v>
      </c>
      <c r="E108" s="157"/>
      <c r="F108" s="159">
        <f>(23.3)*1.1*0.3</f>
        <v>7.6890000000000001</v>
      </c>
      <c r="G108" s="210"/>
      <c r="H108" s="210"/>
      <c r="I108" s="172"/>
      <c r="J108" s="203"/>
    </row>
    <row r="109" spans="1:11" ht="13.5" customHeight="1">
      <c r="A109" s="209"/>
      <c r="B109" s="156"/>
      <c r="C109" s="157"/>
      <c r="D109" s="157" t="s">
        <v>264</v>
      </c>
      <c r="E109" s="157"/>
      <c r="F109" s="159">
        <f>(15.9)*1.1*0.3</f>
        <v>5.2470000000000008</v>
      </c>
      <c r="G109" s="210"/>
      <c r="H109" s="210"/>
      <c r="I109" s="172"/>
      <c r="J109" s="86"/>
    </row>
    <row r="110" spans="1:11" ht="13.5" customHeight="1">
      <c r="A110" s="209"/>
      <c r="B110" s="156"/>
      <c r="C110" s="157"/>
      <c r="D110" s="157" t="s">
        <v>265</v>
      </c>
      <c r="E110" s="157"/>
      <c r="F110" s="159">
        <f>(12.4)*1.1*0.3</f>
        <v>4.0920000000000005</v>
      </c>
      <c r="G110" s="210"/>
      <c r="H110" s="210"/>
      <c r="I110" s="172"/>
      <c r="J110" s="86"/>
    </row>
    <row r="111" spans="1:11" ht="13.5" customHeight="1">
      <c r="A111" s="209"/>
      <c r="B111" s="156"/>
      <c r="C111" s="157"/>
      <c r="D111" s="157" t="s">
        <v>266</v>
      </c>
      <c r="E111" s="157"/>
      <c r="F111" s="159">
        <f>(7.4)*1.1*0.3</f>
        <v>2.4420000000000002</v>
      </c>
      <c r="G111" s="210"/>
      <c r="H111" s="210"/>
      <c r="I111" s="172"/>
      <c r="J111" s="203"/>
    </row>
    <row r="112" spans="1:11" ht="13.5" customHeight="1">
      <c r="A112" s="209"/>
      <c r="B112" s="156"/>
      <c r="C112" s="157"/>
      <c r="D112" s="157" t="s">
        <v>267</v>
      </c>
      <c r="E112" s="157"/>
      <c r="F112" s="159">
        <f>(3.7)*1.1*0.3</f>
        <v>1.2210000000000001</v>
      </c>
      <c r="G112" s="210"/>
      <c r="H112" s="210"/>
      <c r="I112" s="172"/>
      <c r="J112" s="86"/>
    </row>
    <row r="113" spans="1:20" ht="13.5" customHeight="1">
      <c r="A113" s="209"/>
      <c r="B113" s="156"/>
      <c r="C113" s="157"/>
      <c r="D113" s="157" t="s">
        <v>268</v>
      </c>
      <c r="E113" s="157"/>
      <c r="F113" s="159">
        <f>(9)*1.1*0.3</f>
        <v>2.97</v>
      </c>
      <c r="G113" s="211"/>
      <c r="H113" s="210"/>
      <c r="I113" s="172"/>
      <c r="J113" s="86"/>
    </row>
    <row r="114" spans="1:20" ht="13.5" customHeight="1">
      <c r="A114" s="193">
        <v>20</v>
      </c>
      <c r="B114" s="194">
        <v>583</v>
      </c>
      <c r="C114" s="194">
        <v>58343881</v>
      </c>
      <c r="D114" s="194" t="s">
        <v>29</v>
      </c>
      <c r="E114" s="194" t="s">
        <v>27</v>
      </c>
      <c r="F114" s="195">
        <f>SUM(F115:F115)</f>
        <v>74.38</v>
      </c>
      <c r="G114" s="196"/>
      <c r="H114" s="197">
        <f>F114*G114</f>
        <v>0</v>
      </c>
      <c r="I114" s="198" t="s">
        <v>155</v>
      </c>
    </row>
    <row r="115" spans="1:20" ht="13.5" customHeight="1">
      <c r="A115" s="199"/>
      <c r="B115" s="194"/>
      <c r="C115" s="200"/>
      <c r="D115" s="200" t="s">
        <v>269</v>
      </c>
      <c r="E115" s="200"/>
      <c r="F115" s="201">
        <f>37.19*2</f>
        <v>74.38</v>
      </c>
      <c r="G115" s="202"/>
      <c r="H115" s="202"/>
      <c r="I115" s="198"/>
    </row>
    <row r="116" spans="1:20" ht="27" customHeight="1">
      <c r="A116" s="87" t="s">
        <v>71</v>
      </c>
      <c r="B116" s="22">
        <v>231</v>
      </c>
      <c r="C116" s="22">
        <v>181111121</v>
      </c>
      <c r="D116" s="22" t="s">
        <v>68</v>
      </c>
      <c r="E116" s="22" t="s">
        <v>24</v>
      </c>
      <c r="F116" s="74">
        <f>F117</f>
        <v>15.18</v>
      </c>
      <c r="G116" s="71"/>
      <c r="H116" s="75">
        <f>F116*G116</f>
        <v>0</v>
      </c>
      <c r="I116" s="23" t="s">
        <v>155</v>
      </c>
    </row>
    <row r="117" spans="1:20" ht="13.5" customHeight="1">
      <c r="A117" s="87"/>
      <c r="B117" s="89"/>
      <c r="C117" s="22"/>
      <c r="D117" s="77" t="s">
        <v>127</v>
      </c>
      <c r="E117" s="22"/>
      <c r="F117" s="90">
        <v>15.18</v>
      </c>
      <c r="G117" s="75"/>
      <c r="H117" s="75"/>
      <c r="I117" s="23"/>
    </row>
    <row r="118" spans="1:20" s="10" customFormat="1" ht="13.5" customHeight="1">
      <c r="A118" s="87" t="s">
        <v>72</v>
      </c>
      <c r="B118" s="89" t="s">
        <v>18</v>
      </c>
      <c r="C118" s="22">
        <v>181301102</v>
      </c>
      <c r="D118" s="22" t="s">
        <v>109</v>
      </c>
      <c r="E118" s="22" t="s">
        <v>24</v>
      </c>
      <c r="F118" s="74">
        <f>F119</f>
        <v>15.180000000000001</v>
      </c>
      <c r="G118" s="71"/>
      <c r="H118" s="75">
        <f>F118*G118</f>
        <v>0</v>
      </c>
      <c r="I118" s="23" t="s">
        <v>155</v>
      </c>
      <c r="J118" s="100"/>
      <c r="K118" s="101"/>
    </row>
    <row r="119" spans="1:20" s="10" customFormat="1" ht="13.5" customHeight="1">
      <c r="A119" s="87"/>
      <c r="B119" s="89"/>
      <c r="C119" s="22"/>
      <c r="D119" s="77" t="s">
        <v>111</v>
      </c>
      <c r="E119" s="22"/>
      <c r="F119" s="90">
        <f>13.8*1.1</f>
        <v>15.180000000000001</v>
      </c>
      <c r="G119" s="75"/>
      <c r="H119" s="75"/>
      <c r="I119" s="23"/>
      <c r="K119" s="101"/>
    </row>
    <row r="120" spans="1:20" s="10" customFormat="1" ht="28.5" customHeight="1">
      <c r="A120" s="87"/>
      <c r="B120" s="89"/>
      <c r="C120" s="22"/>
      <c r="D120" s="77" t="s">
        <v>110</v>
      </c>
      <c r="E120" s="22"/>
      <c r="F120" s="90"/>
      <c r="G120" s="75"/>
      <c r="H120" s="75"/>
      <c r="I120" s="23"/>
      <c r="K120" s="101"/>
    </row>
    <row r="121" spans="1:20" s="10" customFormat="1" ht="27" customHeight="1">
      <c r="A121" s="226" t="s">
        <v>134</v>
      </c>
      <c r="B121" s="22">
        <v>231</v>
      </c>
      <c r="C121" s="22" t="s">
        <v>112</v>
      </c>
      <c r="D121" s="22" t="s">
        <v>113</v>
      </c>
      <c r="E121" s="22" t="s">
        <v>24</v>
      </c>
      <c r="F121" s="74">
        <f>F123</f>
        <v>15.18</v>
      </c>
      <c r="G121" s="71"/>
      <c r="H121" s="75">
        <f>F121*G121</f>
        <v>0</v>
      </c>
      <c r="I121" s="23" t="s">
        <v>156</v>
      </c>
      <c r="J121" s="102"/>
      <c r="K121" s="101"/>
      <c r="L121" s="103"/>
      <c r="M121" s="45"/>
      <c r="N121" s="104"/>
      <c r="O121" s="104"/>
      <c r="P121" s="104"/>
      <c r="Q121" s="105"/>
      <c r="R121" s="106"/>
      <c r="S121" s="106"/>
      <c r="T121" s="107"/>
    </row>
    <row r="122" spans="1:20" s="10" customFormat="1" ht="27" customHeight="1">
      <c r="A122" s="24"/>
      <c r="B122" s="108"/>
      <c r="C122" s="108"/>
      <c r="D122" s="77" t="s">
        <v>114</v>
      </c>
      <c r="E122" s="108"/>
      <c r="F122" s="90"/>
      <c r="G122" s="109"/>
      <c r="H122" s="75"/>
      <c r="I122" s="23"/>
      <c r="J122" s="102"/>
      <c r="K122" s="101"/>
      <c r="L122" s="103"/>
      <c r="M122" s="45"/>
      <c r="N122" s="104"/>
      <c r="O122" s="104"/>
      <c r="P122" s="104"/>
      <c r="Q122" s="105"/>
      <c r="R122" s="106"/>
      <c r="S122" s="106"/>
      <c r="T122" s="107"/>
    </row>
    <row r="123" spans="1:20" s="10" customFormat="1" ht="13.5" customHeight="1">
      <c r="A123" s="24"/>
      <c r="B123" s="108"/>
      <c r="C123" s="108"/>
      <c r="D123" s="77" t="s">
        <v>314</v>
      </c>
      <c r="E123" s="108"/>
      <c r="F123" s="90">
        <v>15.18</v>
      </c>
      <c r="G123" s="109"/>
      <c r="H123" s="75"/>
      <c r="I123" s="23"/>
      <c r="J123" s="102"/>
      <c r="K123" s="101"/>
      <c r="L123" s="103"/>
      <c r="M123" s="45"/>
      <c r="N123" s="104"/>
      <c r="O123" s="104"/>
      <c r="P123" s="104"/>
      <c r="Q123" s="105"/>
      <c r="R123" s="106"/>
      <c r="S123" s="106"/>
      <c r="T123" s="107"/>
    </row>
    <row r="124" spans="1:20" s="10" customFormat="1" ht="13.5" customHeight="1">
      <c r="A124" s="87" t="s">
        <v>135</v>
      </c>
      <c r="B124" s="22">
        <v>231</v>
      </c>
      <c r="C124" s="22">
        <v>183403113</v>
      </c>
      <c r="D124" s="22" t="s">
        <v>116</v>
      </c>
      <c r="E124" s="22" t="s">
        <v>24</v>
      </c>
      <c r="F124" s="74">
        <f>SUM(F125:F125)</f>
        <v>30.36</v>
      </c>
      <c r="G124" s="71"/>
      <c r="H124" s="75">
        <f>F124*G124</f>
        <v>0</v>
      </c>
      <c r="I124" s="23" t="s">
        <v>155</v>
      </c>
      <c r="J124" s="102"/>
      <c r="K124" s="101"/>
      <c r="L124" s="103"/>
      <c r="M124" s="45"/>
      <c r="N124" s="104"/>
      <c r="O124" s="104"/>
      <c r="P124" s="104"/>
      <c r="Q124" s="105"/>
      <c r="R124" s="106"/>
      <c r="S124" s="106"/>
      <c r="T124" s="107"/>
    </row>
    <row r="125" spans="1:20" s="10" customFormat="1" ht="13.5" customHeight="1">
      <c r="A125" s="87"/>
      <c r="B125" s="108"/>
      <c r="C125" s="108"/>
      <c r="D125" s="77" t="s">
        <v>121</v>
      </c>
      <c r="E125" s="108"/>
      <c r="F125" s="90">
        <f>15.18*2</f>
        <v>30.36</v>
      </c>
      <c r="G125" s="109"/>
      <c r="H125" s="75"/>
      <c r="I125" s="23"/>
      <c r="J125" s="102"/>
      <c r="K125" s="101"/>
      <c r="L125" s="103"/>
      <c r="M125" s="45"/>
      <c r="N125" s="104"/>
      <c r="O125" s="104"/>
      <c r="P125" s="104"/>
      <c r="Q125" s="105"/>
      <c r="R125" s="106"/>
      <c r="S125" s="106"/>
      <c r="T125" s="107"/>
    </row>
    <row r="126" spans="1:20" s="10" customFormat="1" ht="13.5" customHeight="1">
      <c r="A126" s="87" t="s">
        <v>136</v>
      </c>
      <c r="B126" s="89" t="s">
        <v>117</v>
      </c>
      <c r="C126" s="22">
        <v>183403152</v>
      </c>
      <c r="D126" s="22" t="s">
        <v>118</v>
      </c>
      <c r="E126" s="22" t="s">
        <v>24</v>
      </c>
      <c r="F126" s="74">
        <f>F127</f>
        <v>30.36</v>
      </c>
      <c r="G126" s="71"/>
      <c r="H126" s="75">
        <f>F126*G126</f>
        <v>0</v>
      </c>
      <c r="I126" s="23" t="s">
        <v>155</v>
      </c>
      <c r="J126" s="102"/>
      <c r="K126" s="101"/>
      <c r="L126" s="103"/>
      <c r="M126" s="45"/>
      <c r="N126" s="104"/>
      <c r="O126" s="104"/>
      <c r="P126" s="104"/>
      <c r="Q126" s="105"/>
      <c r="R126" s="106"/>
      <c r="S126" s="106"/>
      <c r="T126" s="107"/>
    </row>
    <row r="127" spans="1:20" s="10" customFormat="1" ht="13.5" customHeight="1">
      <c r="A127" s="87"/>
      <c r="B127" s="89"/>
      <c r="C127" s="22"/>
      <c r="D127" s="77" t="s">
        <v>121</v>
      </c>
      <c r="E127" s="108"/>
      <c r="F127" s="90">
        <f>15.18*2</f>
        <v>30.36</v>
      </c>
      <c r="G127" s="75"/>
      <c r="H127" s="75"/>
      <c r="I127" s="23"/>
      <c r="J127" s="102"/>
      <c r="K127" s="101"/>
      <c r="L127" s="103"/>
      <c r="M127" s="45"/>
      <c r="N127" s="104"/>
      <c r="O127" s="104"/>
      <c r="P127" s="104"/>
      <c r="Q127" s="105"/>
      <c r="R127" s="106"/>
      <c r="S127" s="106"/>
      <c r="T127" s="107"/>
    </row>
    <row r="128" spans="1:20" s="10" customFormat="1" ht="13.5" customHeight="1">
      <c r="A128" s="87" t="s">
        <v>137</v>
      </c>
      <c r="B128" s="22">
        <v>231</v>
      </c>
      <c r="C128" s="22">
        <v>183403153</v>
      </c>
      <c r="D128" s="22" t="s">
        <v>119</v>
      </c>
      <c r="E128" s="22" t="s">
        <v>24</v>
      </c>
      <c r="F128" s="74">
        <f>F129</f>
        <v>15.18</v>
      </c>
      <c r="G128" s="71"/>
      <c r="H128" s="75">
        <f>F128*G128</f>
        <v>0</v>
      </c>
      <c r="I128" s="23" t="s">
        <v>155</v>
      </c>
      <c r="J128" s="110"/>
      <c r="K128" s="101"/>
      <c r="L128" s="103"/>
      <c r="M128" s="45"/>
      <c r="N128" s="45"/>
      <c r="O128" s="111"/>
      <c r="P128" s="45"/>
      <c r="Q128" s="112"/>
      <c r="R128" s="49"/>
      <c r="S128" s="49"/>
      <c r="T128" s="102"/>
    </row>
    <row r="129" spans="1:23" s="10" customFormat="1" ht="13.5" customHeight="1">
      <c r="A129" s="87"/>
      <c r="B129" s="89"/>
      <c r="C129" s="22"/>
      <c r="D129" s="77" t="s">
        <v>122</v>
      </c>
      <c r="E129" s="108"/>
      <c r="F129" s="90">
        <v>15.18</v>
      </c>
      <c r="G129" s="75"/>
      <c r="H129" s="75"/>
      <c r="I129" s="23"/>
      <c r="J129" s="102"/>
      <c r="K129" s="101"/>
      <c r="L129" s="103"/>
      <c r="M129" s="45"/>
      <c r="N129" s="104"/>
      <c r="O129" s="104"/>
      <c r="P129" s="104"/>
      <c r="Q129" s="105"/>
      <c r="R129" s="106"/>
      <c r="S129" s="106"/>
      <c r="T129" s="107"/>
    </row>
    <row r="130" spans="1:23" s="10" customFormat="1" ht="13.5" customHeight="1">
      <c r="A130" s="87" t="s">
        <v>138</v>
      </c>
      <c r="B130" s="22">
        <v>231</v>
      </c>
      <c r="C130" s="22">
        <v>183403161</v>
      </c>
      <c r="D130" s="22" t="s">
        <v>120</v>
      </c>
      <c r="E130" s="22" t="s">
        <v>24</v>
      </c>
      <c r="F130" s="74">
        <f>F131</f>
        <v>15.18</v>
      </c>
      <c r="G130" s="71"/>
      <c r="H130" s="75">
        <f>F130*G130</f>
        <v>0</v>
      </c>
      <c r="I130" s="23" t="s">
        <v>155</v>
      </c>
      <c r="J130" s="113"/>
      <c r="K130" s="114"/>
      <c r="L130" s="115"/>
      <c r="M130" s="116"/>
      <c r="N130" s="116"/>
      <c r="O130" s="117"/>
      <c r="P130" s="116"/>
      <c r="Q130" s="118"/>
      <c r="R130" s="119"/>
      <c r="S130" s="113"/>
      <c r="T130" s="114"/>
    </row>
    <row r="131" spans="1:23" s="10" customFormat="1" ht="13.5" customHeight="1">
      <c r="A131" s="87"/>
      <c r="B131" s="89"/>
      <c r="C131" s="22"/>
      <c r="D131" s="77" t="s">
        <v>122</v>
      </c>
      <c r="E131" s="108"/>
      <c r="F131" s="90">
        <v>15.18</v>
      </c>
      <c r="G131" s="75"/>
      <c r="H131" s="75"/>
      <c r="I131" s="23"/>
      <c r="J131" s="102"/>
      <c r="K131" s="101"/>
      <c r="L131" s="103"/>
      <c r="M131" s="45"/>
      <c r="N131" s="104"/>
      <c r="O131" s="104"/>
      <c r="P131" s="104"/>
      <c r="Q131" s="105"/>
      <c r="R131" s="106"/>
      <c r="S131" s="106"/>
      <c r="T131" s="107"/>
    </row>
    <row r="132" spans="1:23" s="10" customFormat="1" ht="27" customHeight="1">
      <c r="A132" s="87" t="s">
        <v>139</v>
      </c>
      <c r="B132" s="22">
        <v>231</v>
      </c>
      <c r="C132" s="22">
        <v>184802111</v>
      </c>
      <c r="D132" s="22" t="s">
        <v>123</v>
      </c>
      <c r="E132" s="22" t="s">
        <v>24</v>
      </c>
      <c r="F132" s="74">
        <f>SUM(F133:F133)</f>
        <v>15.18</v>
      </c>
      <c r="G132" s="71"/>
      <c r="H132" s="75">
        <f>F132*G132</f>
        <v>0</v>
      </c>
      <c r="I132" s="23" t="s">
        <v>155</v>
      </c>
      <c r="J132" s="120"/>
      <c r="K132" s="121"/>
      <c r="L132" s="122"/>
      <c r="M132" s="123"/>
      <c r="N132" s="123"/>
      <c r="O132" s="124"/>
      <c r="P132" s="123"/>
      <c r="Q132" s="125"/>
      <c r="R132" s="126"/>
      <c r="S132" s="120"/>
    </row>
    <row r="133" spans="1:23" s="10" customFormat="1" ht="13.5" customHeight="1">
      <c r="A133" s="87"/>
      <c r="B133" s="22"/>
      <c r="C133" s="22"/>
      <c r="D133" s="77" t="s">
        <v>125</v>
      </c>
      <c r="E133" s="22"/>
      <c r="F133" s="90">
        <v>15.18</v>
      </c>
      <c r="G133" s="75"/>
      <c r="H133" s="75"/>
      <c r="I133" s="23"/>
      <c r="J133" s="113"/>
      <c r="K133" s="114"/>
      <c r="L133" s="115"/>
      <c r="M133" s="116"/>
      <c r="N133" s="116"/>
      <c r="O133" s="117"/>
      <c r="P133" s="116"/>
      <c r="Q133" s="118"/>
      <c r="R133" s="119"/>
      <c r="S133" s="127"/>
    </row>
    <row r="134" spans="1:23" s="10" customFormat="1" ht="13.5" customHeight="1">
      <c r="A134" s="87" t="s">
        <v>140</v>
      </c>
      <c r="B134" s="22">
        <v>231</v>
      </c>
      <c r="C134" s="22">
        <v>185803111</v>
      </c>
      <c r="D134" s="22" t="s">
        <v>124</v>
      </c>
      <c r="E134" s="22" t="s">
        <v>24</v>
      </c>
      <c r="F134" s="74">
        <f>SUM(F135:F135)</f>
        <v>15.18</v>
      </c>
      <c r="G134" s="71"/>
      <c r="H134" s="75">
        <f>F134*G134</f>
        <v>0</v>
      </c>
      <c r="I134" s="23" t="s">
        <v>155</v>
      </c>
      <c r="J134" s="121"/>
      <c r="K134" s="121"/>
      <c r="L134" s="128"/>
      <c r="M134" s="129"/>
      <c r="N134" s="129"/>
      <c r="O134" s="130"/>
      <c r="P134" s="129"/>
      <c r="Q134" s="131"/>
      <c r="R134" s="132"/>
      <c r="S134" s="120"/>
      <c r="W134" s="133"/>
    </row>
    <row r="135" spans="1:23" s="10" customFormat="1" ht="13.5" customHeight="1">
      <c r="A135" s="87"/>
      <c r="B135" s="22"/>
      <c r="C135" s="22"/>
      <c r="D135" s="77" t="s">
        <v>126</v>
      </c>
      <c r="E135" s="22"/>
      <c r="F135" s="90">
        <v>15.18</v>
      </c>
      <c r="G135" s="75"/>
      <c r="H135" s="75"/>
      <c r="I135" s="23"/>
      <c r="J135" s="120"/>
      <c r="K135" s="121"/>
      <c r="L135" s="128"/>
      <c r="M135" s="129"/>
      <c r="N135" s="129"/>
      <c r="O135" s="130"/>
      <c r="P135" s="129"/>
      <c r="Q135" s="131"/>
      <c r="R135" s="132"/>
      <c r="S135" s="120"/>
    </row>
    <row r="136" spans="1:23" s="86" customFormat="1" ht="13.5" customHeight="1">
      <c r="A136" s="24"/>
      <c r="B136" s="22"/>
      <c r="C136" s="17">
        <v>4</v>
      </c>
      <c r="D136" s="17" t="s">
        <v>31</v>
      </c>
      <c r="E136" s="17"/>
      <c r="F136" s="25"/>
      <c r="G136" s="20"/>
      <c r="H136" s="20">
        <f>SUM(H137:H153)</f>
        <v>0</v>
      </c>
      <c r="I136" s="23"/>
    </row>
    <row r="137" spans="1:23" s="86" customFormat="1" ht="13.5" customHeight="1">
      <c r="A137" s="184">
        <v>30</v>
      </c>
      <c r="B137" s="22">
        <v>271</v>
      </c>
      <c r="C137" s="22">
        <v>451573111</v>
      </c>
      <c r="D137" s="22" t="s">
        <v>161</v>
      </c>
      <c r="E137" s="22" t="s">
        <v>22</v>
      </c>
      <c r="F137" s="189">
        <f>SUM(F138:F153)</f>
        <v>23.395500000000009</v>
      </c>
      <c r="G137" s="71"/>
      <c r="H137" s="75">
        <f>F137*G137</f>
        <v>0</v>
      </c>
      <c r="I137" s="23" t="s">
        <v>155</v>
      </c>
    </row>
    <row r="138" spans="1:23" ht="13.5" customHeight="1">
      <c r="A138" s="24"/>
      <c r="B138" s="22"/>
      <c r="C138" s="77"/>
      <c r="D138" s="157" t="s">
        <v>244</v>
      </c>
      <c r="E138" s="157"/>
      <c r="F138" s="159">
        <f>(14.8)*1.1*0.15</f>
        <v>2.4420000000000002</v>
      </c>
      <c r="G138" s="80"/>
      <c r="H138" s="80"/>
      <c r="I138" s="23"/>
      <c r="J138" s="86"/>
    </row>
    <row r="139" spans="1:23" ht="13.5" customHeight="1">
      <c r="A139" s="24"/>
      <c r="B139" s="22"/>
      <c r="C139" s="77"/>
      <c r="D139" s="157" t="s">
        <v>245</v>
      </c>
      <c r="E139" s="157"/>
      <c r="F139" s="159">
        <f>(12.6)*1.1*0.15</f>
        <v>2.0790000000000002</v>
      </c>
      <c r="G139" s="80"/>
      <c r="H139" s="80"/>
      <c r="I139" s="23"/>
      <c r="J139" s="86"/>
    </row>
    <row r="140" spans="1:23" ht="13.5" customHeight="1">
      <c r="A140" s="24"/>
      <c r="B140" s="22"/>
      <c r="C140" s="77"/>
      <c r="D140" s="157" t="s">
        <v>246</v>
      </c>
      <c r="E140" s="157"/>
      <c r="F140" s="159">
        <f>(13.6)*1.1*0.15</f>
        <v>2.2440000000000002</v>
      </c>
      <c r="G140" s="80"/>
      <c r="H140" s="80"/>
      <c r="I140" s="23"/>
      <c r="J140" s="86"/>
    </row>
    <row r="141" spans="1:23" ht="13.5" customHeight="1">
      <c r="A141" s="24"/>
      <c r="B141" s="22"/>
      <c r="C141" s="77"/>
      <c r="D141" s="157" t="s">
        <v>247</v>
      </c>
      <c r="E141" s="157"/>
      <c r="F141" s="159">
        <f>(23.3)*1.1*0.15</f>
        <v>3.8445</v>
      </c>
      <c r="G141" s="80"/>
      <c r="H141" s="80"/>
      <c r="I141" s="23"/>
      <c r="J141" s="86"/>
    </row>
    <row r="142" spans="1:23" ht="13.5" customHeight="1">
      <c r="A142" s="24"/>
      <c r="B142" s="22"/>
      <c r="C142" s="77"/>
      <c r="D142" s="157" t="s">
        <v>248</v>
      </c>
      <c r="E142" s="157"/>
      <c r="F142" s="159">
        <f>(15.9)*1.1*0.15</f>
        <v>2.6235000000000004</v>
      </c>
      <c r="G142" s="80"/>
      <c r="H142" s="80"/>
      <c r="I142" s="23"/>
      <c r="J142" s="86"/>
    </row>
    <row r="143" spans="1:23" ht="13.5" customHeight="1">
      <c r="A143" s="24"/>
      <c r="B143" s="22"/>
      <c r="C143" s="77"/>
      <c r="D143" s="157" t="s">
        <v>249</v>
      </c>
      <c r="E143" s="157"/>
      <c r="F143" s="159">
        <f>(12.4)*1.1*0.15</f>
        <v>2.0460000000000003</v>
      </c>
      <c r="G143" s="80"/>
      <c r="H143" s="80"/>
      <c r="I143" s="23"/>
      <c r="J143" s="86"/>
    </row>
    <row r="144" spans="1:23" ht="13.5" customHeight="1">
      <c r="A144" s="24"/>
      <c r="B144" s="22"/>
      <c r="C144" s="77"/>
      <c r="D144" s="157" t="s">
        <v>250</v>
      </c>
      <c r="E144" s="157"/>
      <c r="F144" s="159">
        <f>(7.4)*1.1*0.15</f>
        <v>1.2210000000000001</v>
      </c>
      <c r="G144" s="80"/>
      <c r="H144" s="80"/>
      <c r="I144" s="23"/>
      <c r="J144" s="86"/>
    </row>
    <row r="145" spans="1:11" ht="13.5" customHeight="1">
      <c r="A145" s="24"/>
      <c r="B145" s="22"/>
      <c r="C145" s="77"/>
      <c r="D145" s="157" t="s">
        <v>251</v>
      </c>
      <c r="E145" s="157"/>
      <c r="F145" s="159">
        <f>(3.7)*1.1*0.15</f>
        <v>0.61050000000000004</v>
      </c>
      <c r="G145" s="80"/>
      <c r="H145" s="80"/>
      <c r="I145" s="23"/>
      <c r="J145" s="86"/>
    </row>
    <row r="146" spans="1:11" ht="13.5" customHeight="1">
      <c r="A146" s="24"/>
      <c r="B146" s="22"/>
      <c r="C146" s="77"/>
      <c r="D146" s="157" t="s">
        <v>252</v>
      </c>
      <c r="E146" s="157"/>
      <c r="F146" s="159">
        <f>(9)*1.1*0.15</f>
        <v>1.4850000000000001</v>
      </c>
      <c r="G146" s="190"/>
      <c r="H146" s="80"/>
      <c r="I146" s="23"/>
      <c r="J146" s="86"/>
    </row>
    <row r="147" spans="1:11" ht="13.5" customHeight="1">
      <c r="A147" s="24"/>
      <c r="B147" s="22"/>
      <c r="C147" s="77"/>
      <c r="D147" s="157" t="s">
        <v>253</v>
      </c>
      <c r="E147" s="157"/>
      <c r="F147" s="159">
        <f>2*2*0.15</f>
        <v>0.6</v>
      </c>
      <c r="G147" s="80"/>
      <c r="H147" s="80"/>
      <c r="I147" s="23"/>
      <c r="J147" s="86"/>
    </row>
    <row r="148" spans="1:11" ht="13.5" customHeight="1">
      <c r="A148" s="24"/>
      <c r="B148" s="22"/>
      <c r="C148" s="77"/>
      <c r="D148" s="157" t="s">
        <v>254</v>
      </c>
      <c r="E148" s="157"/>
      <c r="F148" s="159">
        <f>2*2*0.15</f>
        <v>0.6</v>
      </c>
      <c r="G148" s="80"/>
      <c r="H148" s="80"/>
      <c r="I148" s="23"/>
      <c r="J148" s="86"/>
    </row>
    <row r="149" spans="1:11" ht="13.5" customHeight="1">
      <c r="A149" s="24"/>
      <c r="B149" s="22"/>
      <c r="C149" s="77"/>
      <c r="D149" s="157" t="s">
        <v>255</v>
      </c>
      <c r="E149" s="157"/>
      <c r="F149" s="159">
        <f>2*2*0.15</f>
        <v>0.6</v>
      </c>
      <c r="G149" s="80"/>
      <c r="H149" s="80"/>
      <c r="I149" s="23"/>
      <c r="J149" s="86"/>
    </row>
    <row r="150" spans="1:11" ht="13.5" customHeight="1">
      <c r="A150" s="24"/>
      <c r="B150" s="22"/>
      <c r="C150" s="77"/>
      <c r="D150" s="157" t="s">
        <v>256</v>
      </c>
      <c r="E150" s="157"/>
      <c r="F150" s="159">
        <f>2*2*0.15</f>
        <v>0.6</v>
      </c>
      <c r="G150" s="80"/>
      <c r="H150" s="80"/>
      <c r="I150" s="23"/>
      <c r="J150" s="86"/>
      <c r="K150" s="191"/>
    </row>
    <row r="151" spans="1:11" ht="13.5" customHeight="1">
      <c r="A151" s="24"/>
      <c r="B151" s="22"/>
      <c r="C151" s="77"/>
      <c r="D151" s="157" t="s">
        <v>257</v>
      </c>
      <c r="E151" s="157"/>
      <c r="F151" s="159">
        <f>2*2*0.15</f>
        <v>0.6</v>
      </c>
      <c r="G151" s="80"/>
      <c r="H151" s="80"/>
      <c r="I151" s="23"/>
      <c r="J151" s="86"/>
    </row>
    <row r="152" spans="1:11" ht="13.5" customHeight="1">
      <c r="A152" s="24"/>
      <c r="B152" s="22"/>
      <c r="C152" s="77"/>
      <c r="D152" s="157" t="s">
        <v>258</v>
      </c>
      <c r="E152" s="157"/>
      <c r="F152" s="159">
        <f>(2*2*0.15)*2</f>
        <v>1.2</v>
      </c>
      <c r="G152" s="190"/>
      <c r="H152" s="80"/>
      <c r="I152" s="23"/>
      <c r="J152" s="86"/>
    </row>
    <row r="153" spans="1:11" ht="13.5" customHeight="1">
      <c r="A153" s="24"/>
      <c r="B153" s="22"/>
      <c r="C153" s="77"/>
      <c r="D153" s="157" t="s">
        <v>259</v>
      </c>
      <c r="E153" s="157"/>
      <c r="F153" s="159">
        <f>2*2*0.15</f>
        <v>0.6</v>
      </c>
      <c r="G153" s="80"/>
      <c r="H153" s="80"/>
      <c r="I153" s="23"/>
      <c r="J153" s="86"/>
    </row>
    <row r="154" spans="1:11" ht="13.5" customHeight="1">
      <c r="A154" s="24"/>
      <c r="B154" s="22"/>
      <c r="C154" s="17" t="s">
        <v>32</v>
      </c>
      <c r="D154" s="17" t="s">
        <v>33</v>
      </c>
      <c r="E154" s="17"/>
      <c r="F154" s="25"/>
      <c r="G154" s="26"/>
      <c r="H154" s="20">
        <f>SUM(H155:H189)</f>
        <v>0</v>
      </c>
      <c r="I154" s="23"/>
      <c r="J154" s="134"/>
    </row>
    <row r="155" spans="1:11" ht="13.5" customHeight="1">
      <c r="A155" s="184">
        <v>31</v>
      </c>
      <c r="B155" s="73">
        <v>271</v>
      </c>
      <c r="C155" s="73" t="s">
        <v>196</v>
      </c>
      <c r="D155" s="73" t="s">
        <v>162</v>
      </c>
      <c r="E155" s="22" t="s">
        <v>19</v>
      </c>
      <c r="F155" s="189">
        <f>SUM(F156:F156)</f>
        <v>22.11</v>
      </c>
      <c r="G155" s="71"/>
      <c r="H155" s="75">
        <f>F155*G155</f>
        <v>0</v>
      </c>
      <c r="I155" s="23" t="s">
        <v>156</v>
      </c>
      <c r="J155" s="134"/>
    </row>
    <row r="156" spans="1:11" ht="13.5" customHeight="1">
      <c r="A156" s="76"/>
      <c r="B156" s="77"/>
      <c r="C156" s="78"/>
      <c r="D156" s="218" t="s">
        <v>292</v>
      </c>
      <c r="E156" s="78"/>
      <c r="F156" s="79">
        <f>(7.4+9+3.7)*1.1</f>
        <v>22.11</v>
      </c>
      <c r="G156" s="80"/>
      <c r="H156" s="80"/>
      <c r="I156" s="81"/>
      <c r="J156" s="134"/>
    </row>
    <row r="157" spans="1:11" ht="27" customHeight="1">
      <c r="A157" s="76"/>
      <c r="B157" s="77"/>
      <c r="C157" s="77"/>
      <c r="D157" s="157" t="s">
        <v>74</v>
      </c>
      <c r="E157" s="77"/>
      <c r="F157" s="82"/>
      <c r="G157" s="80"/>
      <c r="H157" s="80"/>
      <c r="I157" s="81"/>
    </row>
    <row r="158" spans="1:11" ht="13.5" customHeight="1">
      <c r="A158" s="184">
        <v>32</v>
      </c>
      <c r="B158" s="73">
        <v>271</v>
      </c>
      <c r="C158" s="73" t="s">
        <v>73</v>
      </c>
      <c r="D158" s="219" t="s">
        <v>128</v>
      </c>
      <c r="E158" s="22" t="s">
        <v>19</v>
      </c>
      <c r="F158" s="189">
        <f>SUM(F159:F159)</f>
        <v>101.86</v>
      </c>
      <c r="G158" s="71"/>
      <c r="H158" s="75">
        <f>F158*G158</f>
        <v>0</v>
      </c>
      <c r="I158" s="23" t="s">
        <v>156</v>
      </c>
      <c r="J158" s="134"/>
    </row>
    <row r="159" spans="1:11" ht="13.5" customHeight="1">
      <c r="A159" s="76"/>
      <c r="B159" s="77"/>
      <c r="C159" s="77"/>
      <c r="D159" s="218" t="s">
        <v>293</v>
      </c>
      <c r="E159" s="78"/>
      <c r="F159" s="79">
        <f>(12.4+15.9+12.6+14.8+13.6+23.3)*1.1</f>
        <v>101.86</v>
      </c>
      <c r="G159" s="80"/>
      <c r="H159" s="80"/>
      <c r="I159" s="81"/>
      <c r="J159" s="135"/>
    </row>
    <row r="160" spans="1:11" ht="27" customHeight="1">
      <c r="A160" s="76"/>
      <c r="B160" s="77"/>
      <c r="C160" s="77"/>
      <c r="D160" s="157" t="s">
        <v>74</v>
      </c>
      <c r="E160" s="77"/>
      <c r="F160" s="82"/>
      <c r="G160" s="80"/>
      <c r="H160" s="80"/>
      <c r="I160" s="81"/>
    </row>
    <row r="161" spans="1:23" ht="13.5" customHeight="1">
      <c r="A161" s="184">
        <v>33</v>
      </c>
      <c r="B161" s="22">
        <v>271</v>
      </c>
      <c r="C161" s="73" t="s">
        <v>34</v>
      </c>
      <c r="D161" s="156" t="s">
        <v>35</v>
      </c>
      <c r="E161" s="22" t="s">
        <v>19</v>
      </c>
      <c r="F161" s="189">
        <f>F162</f>
        <v>123.97</v>
      </c>
      <c r="G161" s="71"/>
      <c r="H161" s="75">
        <f>F161*G161</f>
        <v>0</v>
      </c>
      <c r="I161" s="23" t="s">
        <v>156</v>
      </c>
      <c r="J161" s="86"/>
    </row>
    <row r="162" spans="1:23" ht="13.5" customHeight="1">
      <c r="A162" s="24"/>
      <c r="B162" s="22"/>
      <c r="C162" s="22"/>
      <c r="D162" s="157" t="s">
        <v>303</v>
      </c>
      <c r="E162" s="22"/>
      <c r="F162" s="90">
        <f>22.11+101.86</f>
        <v>123.97</v>
      </c>
      <c r="G162" s="75"/>
      <c r="H162" s="75"/>
      <c r="I162" s="23"/>
      <c r="N162" s="103"/>
      <c r="O162" s="45"/>
      <c r="P162" s="45"/>
      <c r="Q162" s="136"/>
      <c r="R162" s="45"/>
      <c r="S162" s="137"/>
      <c r="T162" s="49"/>
      <c r="U162" s="49"/>
      <c r="V162" s="107"/>
      <c r="W162" s="138"/>
    </row>
    <row r="163" spans="1:23" ht="27" customHeight="1">
      <c r="A163" s="184">
        <v>34</v>
      </c>
      <c r="B163" s="22">
        <v>871</v>
      </c>
      <c r="C163" s="22" t="s">
        <v>76</v>
      </c>
      <c r="D163" s="22" t="s">
        <v>300</v>
      </c>
      <c r="E163" s="22" t="s">
        <v>30</v>
      </c>
      <c r="F163" s="186">
        <f>F164</f>
        <v>4</v>
      </c>
      <c r="G163" s="71"/>
      <c r="H163" s="75">
        <f>F163*G163</f>
        <v>0</v>
      </c>
      <c r="I163" s="23" t="s">
        <v>156</v>
      </c>
      <c r="J163" s="86"/>
    </row>
    <row r="164" spans="1:23" ht="40.5" customHeight="1">
      <c r="A164" s="24"/>
      <c r="B164" s="22"/>
      <c r="C164" s="22"/>
      <c r="D164" s="185" t="s">
        <v>206</v>
      </c>
      <c r="E164" s="22"/>
      <c r="F164" s="140">
        <v>4</v>
      </c>
      <c r="G164" s="75"/>
      <c r="H164" s="75"/>
      <c r="I164" s="23"/>
      <c r="J164" s="141"/>
    </row>
    <row r="165" spans="1:23" ht="27" customHeight="1">
      <c r="A165" s="207" t="s">
        <v>296</v>
      </c>
      <c r="B165" s="204">
        <v>871</v>
      </c>
      <c r="C165" s="204" t="s">
        <v>297</v>
      </c>
      <c r="D165" s="204" t="s">
        <v>298</v>
      </c>
      <c r="E165" s="204" t="s">
        <v>30</v>
      </c>
      <c r="F165" s="213">
        <f>F166</f>
        <v>2</v>
      </c>
      <c r="G165" s="214"/>
      <c r="H165" s="215">
        <f>F165*G165</f>
        <v>0</v>
      </c>
      <c r="I165" s="216" t="s">
        <v>156</v>
      </c>
      <c r="J165" s="86"/>
    </row>
    <row r="166" spans="1:23" ht="40.5" customHeight="1">
      <c r="A166" s="209"/>
      <c r="B166" s="156"/>
      <c r="C166" s="156"/>
      <c r="D166" s="158" t="s">
        <v>317</v>
      </c>
      <c r="E166" s="156"/>
      <c r="F166" s="217">
        <v>2</v>
      </c>
      <c r="G166" s="208"/>
      <c r="H166" s="208"/>
      <c r="I166" s="172"/>
      <c r="J166" s="141"/>
    </row>
    <row r="167" spans="1:23" ht="27" customHeight="1">
      <c r="A167" s="207" t="s">
        <v>299</v>
      </c>
      <c r="B167" s="204">
        <v>871</v>
      </c>
      <c r="C167" s="204" t="s">
        <v>203</v>
      </c>
      <c r="D167" s="204" t="s">
        <v>301</v>
      </c>
      <c r="E167" s="204" t="s">
        <v>30</v>
      </c>
      <c r="F167" s="213">
        <f>F168</f>
        <v>1</v>
      </c>
      <c r="G167" s="214"/>
      <c r="H167" s="215">
        <f>F167*G167</f>
        <v>0</v>
      </c>
      <c r="I167" s="216" t="s">
        <v>156</v>
      </c>
      <c r="J167" s="86"/>
    </row>
    <row r="168" spans="1:23" ht="54" customHeight="1">
      <c r="A168" s="209"/>
      <c r="B168" s="156"/>
      <c r="C168" s="156"/>
      <c r="D168" s="158" t="s">
        <v>315</v>
      </c>
      <c r="E168" s="156"/>
      <c r="F168" s="217">
        <v>1</v>
      </c>
      <c r="G168" s="208"/>
      <c r="H168" s="208"/>
      <c r="I168" s="172"/>
      <c r="J168" s="141"/>
    </row>
    <row r="169" spans="1:23" ht="13.5" customHeight="1">
      <c r="A169" s="184">
        <v>35</v>
      </c>
      <c r="B169" s="22">
        <v>871</v>
      </c>
      <c r="C169" s="22" t="s">
        <v>77</v>
      </c>
      <c r="D169" s="156" t="s">
        <v>208</v>
      </c>
      <c r="E169" s="22" t="s">
        <v>30</v>
      </c>
      <c r="F169" s="186">
        <f>F170</f>
        <v>1</v>
      </c>
      <c r="G169" s="71"/>
      <c r="H169" s="75">
        <f>F169*G169</f>
        <v>0</v>
      </c>
      <c r="I169" s="23" t="s">
        <v>156</v>
      </c>
      <c r="J169" s="86"/>
    </row>
    <row r="170" spans="1:23" ht="27" customHeight="1">
      <c r="A170" s="24"/>
      <c r="B170" s="22"/>
      <c r="C170" s="22"/>
      <c r="D170" s="77" t="s">
        <v>163</v>
      </c>
      <c r="E170" s="22"/>
      <c r="F170" s="140">
        <v>1</v>
      </c>
      <c r="G170" s="75"/>
      <c r="H170" s="75"/>
      <c r="I170" s="23"/>
      <c r="J170" s="86"/>
    </row>
    <row r="171" spans="1:23" ht="13.5" customHeight="1">
      <c r="A171" s="184">
        <v>36</v>
      </c>
      <c r="B171" s="22">
        <v>871</v>
      </c>
      <c r="C171" s="22" t="s">
        <v>79</v>
      </c>
      <c r="D171" s="22" t="s">
        <v>294</v>
      </c>
      <c r="E171" s="22" t="s">
        <v>30</v>
      </c>
      <c r="F171" s="186">
        <f>F172</f>
        <v>14</v>
      </c>
      <c r="G171" s="71"/>
      <c r="H171" s="75">
        <f>F171*G171</f>
        <v>0</v>
      </c>
      <c r="I171" s="23" t="s">
        <v>156</v>
      </c>
      <c r="J171" s="86"/>
    </row>
    <row r="172" spans="1:23" ht="27" customHeight="1">
      <c r="A172" s="24"/>
      <c r="B172" s="22"/>
      <c r="C172" s="142"/>
      <c r="D172" s="77" t="s">
        <v>36</v>
      </c>
      <c r="E172" s="142"/>
      <c r="F172" s="212">
        <v>14</v>
      </c>
      <c r="G172" s="144"/>
      <c r="H172" s="144"/>
      <c r="I172" s="145"/>
      <c r="J172" s="86"/>
    </row>
    <row r="173" spans="1:23" ht="13.5" customHeight="1">
      <c r="A173" s="184">
        <v>37</v>
      </c>
      <c r="B173" s="22">
        <v>892</v>
      </c>
      <c r="C173" s="22" t="s">
        <v>80</v>
      </c>
      <c r="D173" s="22" t="s">
        <v>153</v>
      </c>
      <c r="E173" s="22" t="s">
        <v>30</v>
      </c>
      <c r="F173" s="189">
        <f>F174</f>
        <v>2</v>
      </c>
      <c r="G173" s="71"/>
      <c r="H173" s="75">
        <f>F173*G173</f>
        <v>0</v>
      </c>
      <c r="I173" s="23" t="s">
        <v>156</v>
      </c>
    </row>
    <row r="174" spans="1:23" ht="27" customHeight="1">
      <c r="A174" s="24"/>
      <c r="B174" s="22"/>
      <c r="C174" s="22"/>
      <c r="D174" s="77" t="s">
        <v>154</v>
      </c>
      <c r="E174" s="22"/>
      <c r="F174" s="90">
        <v>2</v>
      </c>
      <c r="G174" s="75"/>
      <c r="H174" s="75"/>
      <c r="I174" s="146"/>
    </row>
    <row r="175" spans="1:23" ht="13.5" customHeight="1">
      <c r="A175" s="24">
        <v>38</v>
      </c>
      <c r="B175" s="22">
        <v>871</v>
      </c>
      <c r="C175" s="22" t="s">
        <v>130</v>
      </c>
      <c r="D175" s="22" t="s">
        <v>129</v>
      </c>
      <c r="E175" s="22" t="s">
        <v>30</v>
      </c>
      <c r="F175" s="139">
        <f>F176</f>
        <v>1</v>
      </c>
      <c r="G175" s="71"/>
      <c r="H175" s="75">
        <f>F175*G175</f>
        <v>0</v>
      </c>
      <c r="I175" s="23" t="s">
        <v>156</v>
      </c>
      <c r="J175" s="86"/>
    </row>
    <row r="176" spans="1:23" ht="27" customHeight="1">
      <c r="A176" s="24"/>
      <c r="B176" s="22"/>
      <c r="C176" s="142"/>
      <c r="D176" s="77" t="s">
        <v>78</v>
      </c>
      <c r="E176" s="142"/>
      <c r="F176" s="212">
        <v>1</v>
      </c>
      <c r="G176" s="144"/>
      <c r="H176" s="144"/>
      <c r="I176" s="145"/>
      <c r="J176" s="86"/>
    </row>
    <row r="177" spans="1:19" ht="13.5" customHeight="1">
      <c r="A177" s="207" t="s">
        <v>223</v>
      </c>
      <c r="B177" s="204">
        <v>871</v>
      </c>
      <c r="C177" s="204" t="s">
        <v>224</v>
      </c>
      <c r="D177" s="204" t="s">
        <v>225</v>
      </c>
      <c r="E177" s="204" t="s">
        <v>50</v>
      </c>
      <c r="F177" s="213">
        <f>F178</f>
        <v>1</v>
      </c>
      <c r="G177" s="214"/>
      <c r="H177" s="215">
        <f>F177*G177</f>
        <v>0</v>
      </c>
      <c r="I177" s="216" t="s">
        <v>156</v>
      </c>
      <c r="J177" s="86"/>
    </row>
    <row r="178" spans="1:19" ht="13.5" customHeight="1">
      <c r="A178" s="209"/>
      <c r="B178" s="156"/>
      <c r="C178" s="220"/>
      <c r="D178" s="157" t="s">
        <v>316</v>
      </c>
      <c r="E178" s="220"/>
      <c r="F178" s="212">
        <v>1</v>
      </c>
      <c r="G178" s="221"/>
      <c r="H178" s="221"/>
      <c r="I178" s="222"/>
      <c r="J178" s="86"/>
    </row>
    <row r="179" spans="1:19" ht="40.5" customHeight="1">
      <c r="A179" s="209"/>
      <c r="B179" s="171"/>
      <c r="C179" s="156"/>
      <c r="D179" s="157" t="s">
        <v>318</v>
      </c>
      <c r="E179" s="156"/>
      <c r="F179" s="227"/>
      <c r="G179" s="208"/>
      <c r="H179" s="208"/>
      <c r="I179" s="172"/>
      <c r="J179" s="228"/>
    </row>
    <row r="180" spans="1:19" ht="40.5" customHeight="1">
      <c r="A180" s="209"/>
      <c r="B180" s="156"/>
      <c r="C180" s="156"/>
      <c r="D180" s="157" t="s">
        <v>319</v>
      </c>
      <c r="E180" s="156"/>
      <c r="F180" s="206"/>
      <c r="G180" s="208"/>
      <c r="H180" s="208"/>
      <c r="I180" s="172"/>
    </row>
    <row r="181" spans="1:19" ht="13.5" customHeight="1">
      <c r="A181" s="24">
        <v>39</v>
      </c>
      <c r="B181" s="22">
        <v>849</v>
      </c>
      <c r="C181" s="22" t="s">
        <v>131</v>
      </c>
      <c r="D181" s="22" t="s">
        <v>168</v>
      </c>
      <c r="E181" s="22" t="s">
        <v>132</v>
      </c>
      <c r="F181" s="74">
        <f>F182</f>
        <v>1</v>
      </c>
      <c r="G181" s="71"/>
      <c r="H181" s="75">
        <f>F181*G181</f>
        <v>0</v>
      </c>
      <c r="I181" s="23" t="s">
        <v>156</v>
      </c>
      <c r="J181" s="86"/>
      <c r="K181" s="86"/>
      <c r="L181" s="86"/>
    </row>
    <row r="182" spans="1:19" ht="38.25" customHeight="1">
      <c r="A182" s="76"/>
      <c r="B182" s="77"/>
      <c r="C182" s="77"/>
      <c r="D182" s="77" t="s">
        <v>199</v>
      </c>
      <c r="E182" s="77"/>
      <c r="F182" s="82">
        <v>1</v>
      </c>
      <c r="G182" s="80"/>
      <c r="H182" s="80"/>
      <c r="I182" s="81"/>
      <c r="J182" s="86"/>
      <c r="K182" s="86"/>
      <c r="L182" s="86"/>
    </row>
    <row r="183" spans="1:19" s="88" customFormat="1" ht="27" customHeight="1">
      <c r="A183" s="24"/>
      <c r="B183" s="22"/>
      <c r="C183" s="22"/>
      <c r="D183" s="77" t="s">
        <v>200</v>
      </c>
      <c r="E183" s="22"/>
      <c r="F183" s="147"/>
      <c r="G183" s="75"/>
      <c r="H183" s="75"/>
      <c r="I183" s="23"/>
      <c r="J183" s="148"/>
    </row>
    <row r="184" spans="1:19" s="88" customFormat="1" ht="38.25" customHeight="1">
      <c r="A184" s="24"/>
      <c r="B184" s="22"/>
      <c r="C184" s="22"/>
      <c r="D184" s="149" t="s">
        <v>201</v>
      </c>
      <c r="E184" s="22"/>
      <c r="F184" s="90"/>
      <c r="G184" s="75"/>
      <c r="H184" s="75"/>
      <c r="I184" s="23"/>
      <c r="K184" s="150"/>
    </row>
    <row r="185" spans="1:19" ht="13.5" customHeight="1">
      <c r="A185" s="24"/>
      <c r="B185" s="22"/>
      <c r="C185" s="77"/>
      <c r="D185" s="151" t="s">
        <v>133</v>
      </c>
      <c r="E185" s="77"/>
      <c r="F185" s="140"/>
      <c r="G185" s="80"/>
      <c r="H185" s="80"/>
      <c r="I185" s="23"/>
    </row>
    <row r="186" spans="1:19" ht="40.5" customHeight="1">
      <c r="A186" s="207" t="s">
        <v>304</v>
      </c>
      <c r="B186" s="204">
        <v>849</v>
      </c>
      <c r="C186" s="204" t="s">
        <v>305</v>
      </c>
      <c r="D186" s="204" t="s">
        <v>309</v>
      </c>
      <c r="E186" s="204" t="s">
        <v>50</v>
      </c>
      <c r="F186" s="205">
        <f>F187</f>
        <v>1</v>
      </c>
      <c r="G186" s="214"/>
      <c r="H186" s="215">
        <f>F186*G186</f>
        <v>0</v>
      </c>
      <c r="I186" s="216" t="s">
        <v>156</v>
      </c>
      <c r="J186" s="86"/>
      <c r="K186" s="86"/>
      <c r="L186" s="86"/>
    </row>
    <row r="187" spans="1:19" ht="67.5" customHeight="1">
      <c r="A187" s="223"/>
      <c r="B187" s="157"/>
      <c r="C187" s="157"/>
      <c r="D187" s="157" t="s">
        <v>306</v>
      </c>
      <c r="E187" s="157"/>
      <c r="F187" s="224">
        <v>1</v>
      </c>
      <c r="G187" s="210"/>
      <c r="H187" s="210"/>
      <c r="I187" s="225"/>
      <c r="J187" s="86"/>
      <c r="K187" s="86"/>
      <c r="L187" s="86"/>
    </row>
    <row r="188" spans="1:19" ht="13.5" customHeight="1">
      <c r="A188" s="223"/>
      <c r="B188" s="157"/>
      <c r="C188" s="157"/>
      <c r="D188" s="157" t="s">
        <v>307</v>
      </c>
      <c r="E188" s="157"/>
      <c r="F188" s="224"/>
      <c r="G188" s="210"/>
      <c r="H188" s="210"/>
      <c r="I188" s="225"/>
      <c r="J188" s="86"/>
      <c r="K188" s="86"/>
      <c r="L188" s="86"/>
    </row>
    <row r="189" spans="1:19" ht="40.5" customHeight="1">
      <c r="A189" s="209"/>
      <c r="B189" s="156"/>
      <c r="C189" s="156"/>
      <c r="D189" s="157" t="s">
        <v>308</v>
      </c>
      <c r="E189" s="156"/>
      <c r="F189" s="206"/>
      <c r="G189" s="208"/>
      <c r="H189" s="208"/>
      <c r="I189" s="172"/>
    </row>
    <row r="190" spans="1:19" s="86" customFormat="1" ht="13.5" customHeight="1">
      <c r="A190" s="24"/>
      <c r="B190" s="22"/>
      <c r="C190" s="17" t="s">
        <v>37</v>
      </c>
      <c r="D190" s="17" t="s">
        <v>38</v>
      </c>
      <c r="E190" s="17"/>
      <c r="F190" s="25"/>
      <c r="G190" s="20"/>
      <c r="H190" s="20">
        <f>H191+H197</f>
        <v>0</v>
      </c>
      <c r="I190" s="152"/>
    </row>
    <row r="191" spans="1:19" s="10" customFormat="1" ht="13.5" customHeight="1">
      <c r="A191" s="24">
        <v>40</v>
      </c>
      <c r="B191" s="89" t="s">
        <v>83</v>
      </c>
      <c r="C191" s="22" t="s">
        <v>102</v>
      </c>
      <c r="D191" s="22" t="s">
        <v>103</v>
      </c>
      <c r="E191" s="22" t="s">
        <v>22</v>
      </c>
      <c r="F191" s="74">
        <f>F193</f>
        <v>2.2799999999999998</v>
      </c>
      <c r="G191" s="153">
        <f>SUM(H194:H196)/F191</f>
        <v>0</v>
      </c>
      <c r="H191" s="75">
        <f>F191*G191</f>
        <v>0</v>
      </c>
      <c r="I191" s="23" t="s">
        <v>156</v>
      </c>
      <c r="J191" s="120"/>
      <c r="K191" s="121"/>
      <c r="L191" s="128"/>
      <c r="M191" s="129"/>
      <c r="N191" s="129"/>
      <c r="O191" s="130"/>
      <c r="P191" s="129"/>
      <c r="Q191" s="131"/>
      <c r="R191" s="132"/>
      <c r="S191" s="120"/>
    </row>
    <row r="192" spans="1:19" s="10" customFormat="1" ht="13.5" customHeight="1">
      <c r="A192" s="24"/>
      <c r="B192" s="22"/>
      <c r="C192" s="22"/>
      <c r="D192" s="77" t="s">
        <v>104</v>
      </c>
      <c r="E192" s="22"/>
      <c r="F192" s="90"/>
      <c r="G192" s="75"/>
      <c r="H192" s="75"/>
      <c r="I192" s="23"/>
      <c r="J192" s="107"/>
      <c r="K192" s="101"/>
      <c r="L192" s="103"/>
      <c r="M192" s="45"/>
      <c r="N192" s="45"/>
      <c r="O192" s="136"/>
      <c r="P192" s="45"/>
      <c r="Q192" s="112"/>
      <c r="R192" s="49"/>
      <c r="S192" s="49"/>
    </row>
    <row r="193" spans="1:19" s="10" customFormat="1" ht="13.5" customHeight="1">
      <c r="A193" s="24"/>
      <c r="B193" s="22"/>
      <c r="C193" s="22"/>
      <c r="D193" s="77" t="s">
        <v>108</v>
      </c>
      <c r="E193" s="22"/>
      <c r="F193" s="90">
        <v>2.2799999999999998</v>
      </c>
      <c r="G193" s="75"/>
      <c r="H193" s="75"/>
      <c r="I193" s="23"/>
      <c r="L193" s="103"/>
      <c r="M193" s="45"/>
      <c r="N193" s="45"/>
      <c r="O193" s="136"/>
      <c r="P193" s="45"/>
      <c r="Q193" s="112"/>
      <c r="R193" s="154"/>
      <c r="S193" s="49"/>
    </row>
    <row r="194" spans="1:19" s="10" customFormat="1" ht="13.5" customHeight="1">
      <c r="A194" s="155" t="s">
        <v>141</v>
      </c>
      <c r="B194" s="156"/>
      <c r="C194" s="156"/>
      <c r="D194" s="157" t="s">
        <v>105</v>
      </c>
      <c r="E194" s="158" t="s">
        <v>22</v>
      </c>
      <c r="F194" s="159">
        <f>F191</f>
        <v>2.2799999999999998</v>
      </c>
      <c r="G194" s="53"/>
      <c r="H194" s="90">
        <f>F194*G194</f>
        <v>0</v>
      </c>
      <c r="I194" s="23"/>
      <c r="L194" s="103"/>
      <c r="M194" s="45"/>
      <c r="N194" s="45"/>
      <c r="O194" s="136"/>
      <c r="P194" s="45"/>
      <c r="Q194" s="112"/>
      <c r="R194" s="154"/>
      <c r="S194" s="49"/>
    </row>
    <row r="195" spans="1:19" s="10" customFormat="1" ht="13.5" customHeight="1">
      <c r="A195" s="155" t="s">
        <v>142</v>
      </c>
      <c r="B195" s="156"/>
      <c r="C195" s="156"/>
      <c r="D195" s="157" t="s">
        <v>106</v>
      </c>
      <c r="E195" s="158" t="s">
        <v>22</v>
      </c>
      <c r="F195" s="159">
        <f>F194</f>
        <v>2.2799999999999998</v>
      </c>
      <c r="G195" s="53"/>
      <c r="H195" s="90">
        <f>F195*G195</f>
        <v>0</v>
      </c>
      <c r="I195" s="23"/>
      <c r="L195" s="103"/>
      <c r="M195" s="45"/>
      <c r="N195" s="45"/>
      <c r="O195" s="136"/>
      <c r="P195" s="45"/>
      <c r="Q195" s="112"/>
      <c r="R195" s="49"/>
      <c r="S195" s="49"/>
    </row>
    <row r="196" spans="1:19" s="10" customFormat="1" ht="13.5" customHeight="1">
      <c r="A196" s="155" t="s">
        <v>143</v>
      </c>
      <c r="B196" s="156"/>
      <c r="C196" s="156"/>
      <c r="D196" s="157" t="s">
        <v>107</v>
      </c>
      <c r="E196" s="158" t="s">
        <v>22</v>
      </c>
      <c r="F196" s="159">
        <f>F195</f>
        <v>2.2799999999999998</v>
      </c>
      <c r="G196" s="53"/>
      <c r="H196" s="90">
        <f>F196*G196</f>
        <v>0</v>
      </c>
      <c r="I196" s="23"/>
      <c r="L196" s="103"/>
      <c r="M196" s="45"/>
      <c r="N196" s="45"/>
      <c r="O196" s="136"/>
      <c r="P196" s="45"/>
      <c r="Q196" s="112"/>
      <c r="R196" s="49"/>
      <c r="S196" s="49"/>
    </row>
    <row r="197" spans="1:19" s="10" customFormat="1" ht="13.5" customHeight="1">
      <c r="A197" s="184">
        <v>41</v>
      </c>
      <c r="B197" s="89" t="s">
        <v>84</v>
      </c>
      <c r="C197" s="22" t="s">
        <v>85</v>
      </c>
      <c r="D197" s="22" t="s">
        <v>39</v>
      </c>
      <c r="E197" s="22" t="s">
        <v>22</v>
      </c>
      <c r="F197" s="189">
        <f>F198</f>
        <v>314.10000000000002</v>
      </c>
      <c r="G197" s="153">
        <f>SUM(H199:H203)/F197</f>
        <v>0</v>
      </c>
      <c r="H197" s="75">
        <f>F197*G197</f>
        <v>0</v>
      </c>
      <c r="I197" s="23" t="s">
        <v>156</v>
      </c>
      <c r="J197" s="91"/>
      <c r="K197" s="160"/>
      <c r="L197" s="161"/>
      <c r="M197" s="162"/>
    </row>
    <row r="198" spans="1:19" s="88" customFormat="1" ht="39.75" customHeight="1">
      <c r="A198" s="163"/>
      <c r="B198" s="164"/>
      <c r="C198" s="165"/>
      <c r="D198" s="77" t="s">
        <v>295</v>
      </c>
      <c r="E198" s="77"/>
      <c r="F198" s="90">
        <f>157.05+157.05</f>
        <v>314.10000000000002</v>
      </c>
      <c r="G198" s="75"/>
      <c r="H198" s="75"/>
      <c r="I198" s="146"/>
      <c r="J198" s="166"/>
      <c r="K198" s="167"/>
      <c r="L198" s="168"/>
      <c r="M198" s="162"/>
    </row>
    <row r="199" spans="1:19" s="88" customFormat="1" ht="13.5" customHeight="1">
      <c r="A199" s="169" t="s">
        <v>190</v>
      </c>
      <c r="B199" s="22"/>
      <c r="C199" s="22"/>
      <c r="D199" s="77" t="s">
        <v>86</v>
      </c>
      <c r="E199" s="151" t="s">
        <v>22</v>
      </c>
      <c r="F199" s="90">
        <f>F197</f>
        <v>314.10000000000002</v>
      </c>
      <c r="G199" s="53"/>
      <c r="H199" s="90">
        <f t="shared" ref="H199:H203" si="0">F199*G199</f>
        <v>0</v>
      </c>
      <c r="I199" s="146"/>
      <c r="J199" s="91"/>
      <c r="K199" s="91"/>
      <c r="L199" s="170"/>
      <c r="M199" s="162"/>
    </row>
    <row r="200" spans="1:19" s="88" customFormat="1" ht="13.5" customHeight="1">
      <c r="A200" s="169" t="s">
        <v>191</v>
      </c>
      <c r="B200" s="22"/>
      <c r="C200" s="22"/>
      <c r="D200" s="77" t="s">
        <v>87</v>
      </c>
      <c r="E200" s="151" t="s">
        <v>22</v>
      </c>
      <c r="F200" s="90">
        <f>F199</f>
        <v>314.10000000000002</v>
      </c>
      <c r="G200" s="53"/>
      <c r="H200" s="90">
        <f t="shared" si="0"/>
        <v>0</v>
      </c>
      <c r="I200" s="146"/>
      <c r="J200" s="91"/>
      <c r="K200" s="86"/>
      <c r="L200" s="162"/>
      <c r="M200" s="162"/>
    </row>
    <row r="201" spans="1:19" s="88" customFormat="1" ht="13.5" customHeight="1">
      <c r="A201" s="169" t="s">
        <v>192</v>
      </c>
      <c r="B201" s="22"/>
      <c r="C201" s="22"/>
      <c r="D201" s="77" t="s">
        <v>88</v>
      </c>
      <c r="E201" s="151" t="s">
        <v>22</v>
      </c>
      <c r="F201" s="90">
        <f>F200</f>
        <v>314.10000000000002</v>
      </c>
      <c r="G201" s="53"/>
      <c r="H201" s="90">
        <f t="shared" si="0"/>
        <v>0</v>
      </c>
      <c r="I201" s="146"/>
      <c r="J201" s="91"/>
      <c r="K201" s="86"/>
      <c r="L201" s="162"/>
      <c r="M201" s="162"/>
    </row>
    <row r="202" spans="1:19" s="88" customFormat="1" ht="13.5" customHeight="1">
      <c r="A202" s="169" t="s">
        <v>193</v>
      </c>
      <c r="B202" s="22"/>
      <c r="C202" s="22"/>
      <c r="D202" s="77" t="s">
        <v>158</v>
      </c>
      <c r="E202" s="151" t="s">
        <v>22</v>
      </c>
      <c r="F202" s="90">
        <f>F201</f>
        <v>314.10000000000002</v>
      </c>
      <c r="G202" s="53"/>
      <c r="H202" s="90">
        <f t="shared" si="0"/>
        <v>0</v>
      </c>
      <c r="I202" s="146"/>
      <c r="J202" s="91"/>
      <c r="K202" s="86"/>
      <c r="L202" s="162"/>
      <c r="M202" s="162"/>
    </row>
    <row r="203" spans="1:19" s="88" customFormat="1" ht="13.5" customHeight="1">
      <c r="A203" s="169" t="s">
        <v>194</v>
      </c>
      <c r="B203" s="22"/>
      <c r="C203" s="22"/>
      <c r="D203" s="77" t="s">
        <v>89</v>
      </c>
      <c r="E203" s="151" t="s">
        <v>22</v>
      </c>
      <c r="F203" s="90">
        <f>F202</f>
        <v>314.10000000000002</v>
      </c>
      <c r="G203" s="53"/>
      <c r="H203" s="90">
        <f t="shared" si="0"/>
        <v>0</v>
      </c>
      <c r="I203" s="146"/>
      <c r="J203" s="91"/>
      <c r="K203" s="86"/>
      <c r="L203" s="162"/>
      <c r="M203" s="162"/>
    </row>
    <row r="204" spans="1:19" s="86" customFormat="1" ht="13.5" customHeight="1">
      <c r="A204" s="24"/>
      <c r="B204" s="24"/>
      <c r="C204" s="17" t="s">
        <v>40</v>
      </c>
      <c r="D204" s="17" t="s">
        <v>41</v>
      </c>
      <c r="E204" s="17"/>
      <c r="F204" s="25"/>
      <c r="G204" s="20"/>
      <c r="H204" s="20">
        <f>SUM(H205:H207)</f>
        <v>0</v>
      </c>
      <c r="I204" s="146"/>
    </row>
    <row r="205" spans="1:19" ht="13.5" customHeight="1">
      <c r="A205" s="226" t="s">
        <v>195</v>
      </c>
      <c r="B205" s="171" t="s">
        <v>164</v>
      </c>
      <c r="C205" s="156" t="s">
        <v>165</v>
      </c>
      <c r="D205" s="156" t="s">
        <v>166</v>
      </c>
      <c r="E205" s="22" t="s">
        <v>27</v>
      </c>
      <c r="F205" s="205">
        <v>615.26800000000003</v>
      </c>
      <c r="G205" s="71"/>
      <c r="H205" s="75">
        <f>F205*G205</f>
        <v>0</v>
      </c>
      <c r="I205" s="172" t="s">
        <v>167</v>
      </c>
    </row>
    <row r="206" spans="1:19" ht="13.5" customHeight="1">
      <c r="A206" s="24">
        <v>43</v>
      </c>
      <c r="B206" s="22" t="s">
        <v>42</v>
      </c>
      <c r="C206" s="22" t="s">
        <v>43</v>
      </c>
      <c r="D206" s="22" t="s">
        <v>44</v>
      </c>
      <c r="E206" s="22" t="s">
        <v>15</v>
      </c>
      <c r="F206" s="74">
        <f>F207</f>
        <v>20</v>
      </c>
      <c r="G206" s="71"/>
      <c r="H206" s="75">
        <f>F206*G206</f>
        <v>0</v>
      </c>
      <c r="I206" s="23" t="s">
        <v>155</v>
      </c>
    </row>
    <row r="207" spans="1:19" ht="27" customHeight="1">
      <c r="A207" s="24"/>
      <c r="B207" s="22"/>
      <c r="C207" s="142"/>
      <c r="D207" s="77" t="s">
        <v>45</v>
      </c>
      <c r="E207" s="142"/>
      <c r="F207" s="143">
        <v>20</v>
      </c>
      <c r="G207" s="144"/>
      <c r="H207" s="144"/>
      <c r="I207" s="145"/>
    </row>
    <row r="208" spans="1:19" ht="21" customHeight="1">
      <c r="A208" s="24"/>
      <c r="B208" s="24"/>
      <c r="C208" s="17" t="s">
        <v>46</v>
      </c>
      <c r="D208" s="17" t="s">
        <v>47</v>
      </c>
      <c r="E208" s="17"/>
      <c r="F208" s="25"/>
      <c r="G208" s="20"/>
      <c r="H208" s="20">
        <f>H209</f>
        <v>0</v>
      </c>
      <c r="I208" s="145"/>
      <c r="J208" s="86"/>
    </row>
    <row r="209" spans="1:10" ht="13.5" customHeight="1">
      <c r="A209" s="24"/>
      <c r="B209" s="24"/>
      <c r="C209" s="17" t="s">
        <v>48</v>
      </c>
      <c r="D209" s="17" t="s">
        <v>49</v>
      </c>
      <c r="E209" s="17"/>
      <c r="F209" s="25"/>
      <c r="G209" s="20"/>
      <c r="H209" s="20">
        <f>SUM(H210:H216)</f>
        <v>0</v>
      </c>
      <c r="I209" s="146"/>
      <c r="J209" s="86"/>
    </row>
    <row r="210" spans="1:10" ht="13.5" customHeight="1">
      <c r="A210" s="24">
        <v>44</v>
      </c>
      <c r="B210" s="89" t="s">
        <v>81</v>
      </c>
      <c r="C210" s="22">
        <v>230170004</v>
      </c>
      <c r="D210" s="22" t="s">
        <v>82</v>
      </c>
      <c r="E210" s="22" t="s">
        <v>50</v>
      </c>
      <c r="F210" s="139">
        <f>F211</f>
        <v>1</v>
      </c>
      <c r="G210" s="71"/>
      <c r="H210" s="75">
        <f>F210*G210</f>
        <v>0</v>
      </c>
      <c r="I210" s="23" t="s">
        <v>155</v>
      </c>
      <c r="J210" s="86"/>
    </row>
    <row r="211" spans="1:10" ht="13.5" customHeight="1">
      <c r="A211" s="24"/>
      <c r="B211" s="24"/>
      <c r="C211" s="77"/>
      <c r="D211" s="77" t="s">
        <v>51</v>
      </c>
      <c r="E211" s="77"/>
      <c r="F211" s="143">
        <v>1</v>
      </c>
      <c r="G211" s="80"/>
      <c r="H211" s="80"/>
      <c r="I211" s="173"/>
      <c r="J211" s="86"/>
    </row>
    <row r="212" spans="1:10" ht="13.5" customHeight="1">
      <c r="A212" s="24"/>
      <c r="B212" s="24"/>
      <c r="C212" s="77"/>
      <c r="D212" s="77" t="s">
        <v>52</v>
      </c>
      <c r="E212" s="77"/>
      <c r="F212" s="143"/>
      <c r="G212" s="80"/>
      <c r="H212" s="80"/>
      <c r="I212" s="173"/>
      <c r="J212" s="86"/>
    </row>
    <row r="213" spans="1:10" ht="13.5" customHeight="1">
      <c r="A213" s="184">
        <v>45</v>
      </c>
      <c r="B213" s="89" t="s">
        <v>81</v>
      </c>
      <c r="C213" s="22">
        <v>230170014</v>
      </c>
      <c r="D213" s="22" t="s">
        <v>62</v>
      </c>
      <c r="E213" s="22" t="s">
        <v>19</v>
      </c>
      <c r="F213" s="186">
        <f>F214</f>
        <v>112.69999999999999</v>
      </c>
      <c r="G213" s="71"/>
      <c r="H213" s="75">
        <f>F213*G213</f>
        <v>0</v>
      </c>
      <c r="I213" s="23" t="s">
        <v>155</v>
      </c>
      <c r="J213" s="86"/>
    </row>
    <row r="214" spans="1:10" ht="13.5" customHeight="1">
      <c r="A214" s="24"/>
      <c r="B214" s="24"/>
      <c r="C214" s="77"/>
      <c r="D214" s="157" t="s">
        <v>302</v>
      </c>
      <c r="E214" s="157"/>
      <c r="F214" s="212">
        <f>(7.4+9+3.7)+(12.4+15.9+12.6+14.8+13.6+23.3)</f>
        <v>112.69999999999999</v>
      </c>
      <c r="G214" s="80"/>
      <c r="H214" s="80"/>
      <c r="I214" s="173"/>
      <c r="J214" s="86"/>
    </row>
    <row r="215" spans="1:10" ht="13.5" customHeight="1">
      <c r="A215" s="24">
        <v>46</v>
      </c>
      <c r="B215" s="22" t="s">
        <v>42</v>
      </c>
      <c r="C215" s="22" t="s">
        <v>43</v>
      </c>
      <c r="D215" s="22" t="s">
        <v>44</v>
      </c>
      <c r="E215" s="22" t="s">
        <v>15</v>
      </c>
      <c r="F215" s="74">
        <f>F216</f>
        <v>10</v>
      </c>
      <c r="G215" s="71"/>
      <c r="H215" s="75">
        <f>F215*G215</f>
        <v>0</v>
      </c>
      <c r="I215" s="23" t="s">
        <v>155</v>
      </c>
      <c r="J215" s="86"/>
    </row>
    <row r="216" spans="1:10" ht="27" customHeight="1">
      <c r="A216" s="24"/>
      <c r="B216" s="22"/>
      <c r="C216" s="142"/>
      <c r="D216" s="77" t="s">
        <v>45</v>
      </c>
      <c r="E216" s="142"/>
      <c r="F216" s="143">
        <v>10</v>
      </c>
      <c r="G216" s="144"/>
      <c r="H216" s="144"/>
      <c r="I216" s="145"/>
      <c r="J216" s="86"/>
    </row>
    <row r="217" spans="1:10" ht="21" customHeight="1">
      <c r="A217" s="27"/>
      <c r="B217" s="28"/>
      <c r="C217" s="28"/>
      <c r="D217" s="28" t="s">
        <v>53</v>
      </c>
      <c r="E217" s="28"/>
      <c r="F217" s="29"/>
      <c r="G217" s="30"/>
      <c r="H217" s="30">
        <f>H208+H9</f>
        <v>0</v>
      </c>
      <c r="I217" s="10"/>
    </row>
    <row r="218" spans="1:10">
      <c r="A218" s="31"/>
      <c r="B218" s="31"/>
      <c r="C218" s="32"/>
      <c r="D218" s="32"/>
      <c r="E218" s="33"/>
      <c r="F218" s="34"/>
      <c r="G218" s="35"/>
      <c r="H218" s="35"/>
      <c r="I218" s="36"/>
    </row>
    <row r="219" spans="1:10" ht="13.5" customHeight="1">
      <c r="A219" s="233" t="s">
        <v>54</v>
      </c>
      <c r="B219" s="234"/>
      <c r="C219" s="235"/>
      <c r="D219" s="37" t="s">
        <v>94</v>
      </c>
      <c r="E219" s="38"/>
      <c r="F219" s="39"/>
      <c r="G219" s="40"/>
      <c r="H219" s="41">
        <f>H217</f>
        <v>0</v>
      </c>
      <c r="I219" s="42"/>
    </row>
    <row r="220" spans="1:10" ht="13.5" customHeight="1">
      <c r="A220" s="43"/>
      <c r="B220" s="44"/>
      <c r="C220" s="44"/>
      <c r="D220" s="45"/>
      <c r="E220" s="46"/>
      <c r="F220" s="47"/>
      <c r="G220" s="48"/>
      <c r="H220" s="49"/>
      <c r="I220" s="10"/>
    </row>
    <row r="221" spans="1:10" ht="13.5" customHeight="1">
      <c r="A221" s="50" t="s">
        <v>55</v>
      </c>
      <c r="B221" s="50"/>
      <c r="C221" s="50"/>
      <c r="D221" s="50"/>
      <c r="E221" s="50"/>
      <c r="F221" s="50"/>
      <c r="G221" s="50"/>
      <c r="H221" s="50"/>
      <c r="I221" s="50"/>
    </row>
    <row r="222" spans="1:10" ht="27" customHeight="1">
      <c r="A222" s="232" t="s">
        <v>56</v>
      </c>
      <c r="B222" s="232"/>
      <c r="C222" s="232"/>
      <c r="D222" s="232"/>
      <c r="E222" s="232"/>
      <c r="F222" s="232"/>
      <c r="G222" s="232"/>
      <c r="H222" s="50"/>
      <c r="I222" s="10"/>
    </row>
    <row r="223" spans="1:10" ht="93.75" customHeight="1">
      <c r="A223" s="232" t="s">
        <v>57</v>
      </c>
      <c r="B223" s="232"/>
      <c r="C223" s="232"/>
      <c r="D223" s="232"/>
      <c r="E223" s="232"/>
      <c r="F223" s="232"/>
      <c r="G223" s="232"/>
      <c r="H223" s="50"/>
      <c r="I223" s="50"/>
    </row>
    <row r="224" spans="1:10" ht="13.5" customHeight="1">
      <c r="A224" s="232" t="s">
        <v>58</v>
      </c>
      <c r="B224" s="232"/>
      <c r="C224" s="232"/>
      <c r="D224" s="232"/>
      <c r="E224" s="232"/>
      <c r="F224" s="232"/>
      <c r="G224" s="232"/>
      <c r="H224" s="51"/>
      <c r="I224" s="52"/>
    </row>
    <row r="225" spans="1:9" ht="13.5" customHeight="1">
      <c r="A225" s="232" t="s">
        <v>59</v>
      </c>
      <c r="B225" s="232"/>
      <c r="C225" s="232"/>
      <c r="D225" s="232"/>
      <c r="E225" s="232"/>
      <c r="F225" s="232"/>
      <c r="G225" s="232"/>
      <c r="H225" s="51"/>
      <c r="I225" s="52"/>
    </row>
  </sheetData>
  <sheetProtection password="CAD9" sheet="1" objects="1" scenarios="1"/>
  <mergeCells count="8">
    <mergeCell ref="A2:I2"/>
    <mergeCell ref="A3:D3"/>
    <mergeCell ref="A224:G224"/>
    <mergeCell ref="A225:G225"/>
    <mergeCell ref="A219:C219"/>
    <mergeCell ref="A4:D4"/>
    <mergeCell ref="A222:G222"/>
    <mergeCell ref="A223:G22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4"/>
  <sheetViews>
    <sheetView zoomScaleNormal="100" workbookViewId="0"/>
  </sheetViews>
  <sheetFormatPr defaultRowHeight="15"/>
  <cols>
    <col min="1" max="1" width="4.140625" style="84" customWidth="1"/>
    <col min="2" max="2" width="4.28515625" style="84" customWidth="1"/>
    <col min="3" max="3" width="14.42578125" style="84" customWidth="1"/>
    <col min="4" max="4" width="65" style="84" customWidth="1"/>
    <col min="5" max="5" width="6.7109375" style="84" customWidth="1"/>
    <col min="6" max="6" width="10.140625" style="84" customWidth="1"/>
    <col min="7" max="7" width="11.7109375" style="84" customWidth="1"/>
    <col min="8" max="8" width="15.7109375" style="84" customWidth="1"/>
    <col min="9" max="9" width="17.28515625" style="84" customWidth="1"/>
    <col min="10" max="16384" width="9.140625" style="84"/>
  </cols>
  <sheetData>
    <row r="1" spans="1:10" ht="18">
      <c r="A1" s="1" t="s">
        <v>198</v>
      </c>
      <c r="B1" s="2"/>
      <c r="C1" s="2"/>
      <c r="D1" s="9"/>
      <c r="E1" s="9"/>
      <c r="F1" s="9"/>
      <c r="G1" s="9"/>
      <c r="H1" s="9"/>
      <c r="I1" s="9"/>
    </row>
    <row r="2" spans="1:10" s="70" customFormat="1" ht="13.5" customHeight="1">
      <c r="A2" s="229" t="s">
        <v>91</v>
      </c>
      <c r="B2" s="231"/>
      <c r="C2" s="231"/>
      <c r="D2" s="231"/>
      <c r="E2" s="231"/>
      <c r="F2" s="231"/>
      <c r="G2" s="231"/>
      <c r="H2" s="231"/>
      <c r="I2" s="231"/>
    </row>
    <row r="3" spans="1:10" ht="13.5" customHeight="1">
      <c r="A3" s="229" t="s">
        <v>159</v>
      </c>
      <c r="B3" s="230"/>
      <c r="C3" s="230"/>
      <c r="D3" s="230"/>
      <c r="E3" s="3"/>
      <c r="F3" s="4"/>
      <c r="G3" s="4"/>
      <c r="H3" s="10"/>
      <c r="I3" s="10"/>
    </row>
    <row r="4" spans="1:10" ht="13.5" customHeight="1">
      <c r="A4" s="229" t="s">
        <v>144</v>
      </c>
      <c r="B4" s="230"/>
      <c r="C4" s="230"/>
      <c r="D4" s="230"/>
      <c r="E4" s="3"/>
      <c r="F4" s="4"/>
      <c r="G4" s="4"/>
      <c r="H4" s="10"/>
      <c r="I4" s="10"/>
    </row>
    <row r="5" spans="1:10">
      <c r="A5" s="3" t="s">
        <v>97</v>
      </c>
      <c r="B5" s="3"/>
      <c r="C5" s="3"/>
      <c r="D5" s="3"/>
      <c r="E5" s="3"/>
      <c r="F5" s="4"/>
      <c r="G5" s="4"/>
      <c r="H5" s="10"/>
      <c r="I5" s="10"/>
    </row>
    <row r="6" spans="1:10">
      <c r="A6" s="4"/>
      <c r="B6" s="4"/>
      <c r="C6" s="4"/>
      <c r="D6" s="54"/>
      <c r="E6" s="5"/>
      <c r="F6" s="4"/>
      <c r="G6" s="4"/>
      <c r="H6" s="4"/>
      <c r="I6" s="11"/>
    </row>
    <row r="7" spans="1:10" ht="22.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8" t="s">
        <v>8</v>
      </c>
    </row>
    <row r="8" spans="1:10">
      <c r="A8" s="6" t="s">
        <v>9</v>
      </c>
      <c r="B8" s="6" t="s">
        <v>10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7">
        <v>8</v>
      </c>
      <c r="I8" s="8">
        <v>9</v>
      </c>
    </row>
    <row r="9" spans="1:10" ht="21" customHeight="1">
      <c r="A9" s="12"/>
      <c r="B9" s="13"/>
      <c r="C9" s="13" t="s">
        <v>11</v>
      </c>
      <c r="D9" s="13" t="s">
        <v>12</v>
      </c>
      <c r="E9" s="13"/>
      <c r="F9" s="14"/>
      <c r="G9" s="15"/>
      <c r="H9" s="15">
        <f>H10+H43+H47+H65+H73</f>
        <v>0</v>
      </c>
      <c r="I9" s="10"/>
    </row>
    <row r="10" spans="1:10" ht="13.5" customHeight="1">
      <c r="A10" s="16"/>
      <c r="B10" s="16"/>
      <c r="C10" s="17" t="s">
        <v>9</v>
      </c>
      <c r="D10" s="17" t="s">
        <v>13</v>
      </c>
      <c r="E10" s="18"/>
      <c r="F10" s="19"/>
      <c r="G10" s="20"/>
      <c r="H10" s="20">
        <f>SUM(H11:H42)</f>
        <v>0</v>
      </c>
      <c r="I10" s="21"/>
    </row>
    <row r="11" spans="1:10" ht="13.5" customHeight="1">
      <c r="A11" s="24">
        <v>1</v>
      </c>
      <c r="B11" s="22">
        <v>221</v>
      </c>
      <c r="C11" s="22">
        <v>115101201</v>
      </c>
      <c r="D11" s="22" t="s">
        <v>14</v>
      </c>
      <c r="E11" s="22" t="s">
        <v>15</v>
      </c>
      <c r="F11" s="85">
        <v>8</v>
      </c>
      <c r="G11" s="71"/>
      <c r="H11" s="75">
        <f>F11*G11</f>
        <v>0</v>
      </c>
      <c r="I11" s="23" t="s">
        <v>155</v>
      </c>
      <c r="J11" s="86"/>
    </row>
    <row r="12" spans="1:10" ht="13.5" customHeight="1">
      <c r="A12" s="24">
        <v>2</v>
      </c>
      <c r="B12" s="22">
        <v>221</v>
      </c>
      <c r="C12" s="22">
        <v>115101301</v>
      </c>
      <c r="D12" s="22" t="s">
        <v>16</v>
      </c>
      <c r="E12" s="22" t="s">
        <v>17</v>
      </c>
      <c r="F12" s="85">
        <v>1</v>
      </c>
      <c r="G12" s="71"/>
      <c r="H12" s="75">
        <f>F12*G12</f>
        <v>0</v>
      </c>
      <c r="I12" s="23" t="s">
        <v>155</v>
      </c>
      <c r="J12" s="86"/>
    </row>
    <row r="13" spans="1:10" ht="13.5" customHeight="1">
      <c r="A13" s="24">
        <v>3</v>
      </c>
      <c r="B13" s="22" t="s">
        <v>18</v>
      </c>
      <c r="C13" s="22">
        <v>119001401</v>
      </c>
      <c r="D13" s="22" t="s">
        <v>63</v>
      </c>
      <c r="E13" s="22" t="s">
        <v>19</v>
      </c>
      <c r="F13" s="74">
        <v>4</v>
      </c>
      <c r="G13" s="71"/>
      <c r="H13" s="75">
        <f>F13*G13</f>
        <v>0</v>
      </c>
      <c r="I13" s="23" t="s">
        <v>155</v>
      </c>
      <c r="J13" s="86"/>
    </row>
    <row r="14" spans="1:10" ht="13.5" customHeight="1">
      <c r="A14" s="24">
        <v>4</v>
      </c>
      <c r="B14" s="22" t="s">
        <v>18</v>
      </c>
      <c r="C14" s="22">
        <v>119001421</v>
      </c>
      <c r="D14" s="22" t="s">
        <v>20</v>
      </c>
      <c r="E14" s="22" t="s">
        <v>19</v>
      </c>
      <c r="F14" s="74">
        <v>6</v>
      </c>
      <c r="G14" s="71"/>
      <c r="H14" s="75">
        <f>F14*G14</f>
        <v>0</v>
      </c>
      <c r="I14" s="23" t="s">
        <v>155</v>
      </c>
      <c r="J14" s="86"/>
    </row>
    <row r="15" spans="1:10" s="174" customFormat="1" ht="13.5" customHeight="1">
      <c r="A15" s="24">
        <v>5</v>
      </c>
      <c r="B15" s="22" t="s">
        <v>18</v>
      </c>
      <c r="C15" s="22">
        <v>130001101</v>
      </c>
      <c r="D15" s="22" t="s">
        <v>21</v>
      </c>
      <c r="E15" s="22" t="s">
        <v>22</v>
      </c>
      <c r="F15" s="74">
        <f>F16</f>
        <v>11.792000000000002</v>
      </c>
      <c r="G15" s="71"/>
      <c r="H15" s="75">
        <f>F15*G15</f>
        <v>0</v>
      </c>
      <c r="I15" s="23" t="s">
        <v>155</v>
      </c>
    </row>
    <row r="16" spans="1:10" s="174" customFormat="1" ht="13.5" customHeight="1">
      <c r="A16" s="24"/>
      <c r="B16" s="22"/>
      <c r="C16" s="77"/>
      <c r="D16" s="77" t="s">
        <v>170</v>
      </c>
      <c r="E16" s="77"/>
      <c r="F16" s="90">
        <f>(58.96+58.96)*0.1</f>
        <v>11.792000000000002</v>
      </c>
      <c r="G16" s="80"/>
      <c r="H16" s="80"/>
      <c r="I16" s="23"/>
    </row>
    <row r="17" spans="1:9" s="174" customFormat="1" ht="13.5" customHeight="1">
      <c r="A17" s="24">
        <v>6</v>
      </c>
      <c r="B17" s="22" t="s">
        <v>18</v>
      </c>
      <c r="C17" s="22">
        <v>132201201</v>
      </c>
      <c r="D17" s="22" t="s">
        <v>64</v>
      </c>
      <c r="E17" s="22" t="s">
        <v>22</v>
      </c>
      <c r="F17" s="74">
        <f>SUM(F18:F19)</f>
        <v>58.96200000000001</v>
      </c>
      <c r="G17" s="71"/>
      <c r="H17" s="75">
        <f>F17*G17</f>
        <v>0</v>
      </c>
      <c r="I17" s="23" t="s">
        <v>155</v>
      </c>
    </row>
    <row r="18" spans="1:9" s="174" customFormat="1" ht="28.5" customHeight="1">
      <c r="A18" s="24"/>
      <c r="B18" s="22"/>
      <c r="C18" s="77"/>
      <c r="D18" s="77" t="s">
        <v>169</v>
      </c>
      <c r="E18" s="77"/>
      <c r="F18" s="90">
        <f>(2+3.1+16.6+9.1)*1.1*2.3*0.5</f>
        <v>38.96200000000001</v>
      </c>
      <c r="G18" s="80"/>
      <c r="H18" s="80"/>
      <c r="I18" s="23"/>
    </row>
    <row r="19" spans="1:9" s="174" customFormat="1" ht="13.5" customHeight="1">
      <c r="A19" s="24"/>
      <c r="B19" s="22"/>
      <c r="C19" s="77"/>
      <c r="D19" s="77" t="s">
        <v>145</v>
      </c>
      <c r="E19" s="77"/>
      <c r="F19" s="90">
        <f>2*2*2.5*4*0.5</f>
        <v>20</v>
      </c>
      <c r="G19" s="80"/>
      <c r="H19" s="80"/>
      <c r="I19" s="23"/>
    </row>
    <row r="20" spans="1:9" s="174" customFormat="1" ht="13.5" customHeight="1">
      <c r="A20" s="24">
        <v>7</v>
      </c>
      <c r="B20" s="22" t="s">
        <v>18</v>
      </c>
      <c r="C20" s="22">
        <v>132201209</v>
      </c>
      <c r="D20" s="22" t="s">
        <v>23</v>
      </c>
      <c r="E20" s="22" t="s">
        <v>22</v>
      </c>
      <c r="F20" s="74">
        <f>SUM(F21)</f>
        <v>29.48</v>
      </c>
      <c r="G20" s="71"/>
      <c r="H20" s="75">
        <f>F20*G20</f>
        <v>0</v>
      </c>
      <c r="I20" s="23" t="s">
        <v>155</v>
      </c>
    </row>
    <row r="21" spans="1:9" s="174" customFormat="1" ht="13.5" customHeight="1">
      <c r="A21" s="24"/>
      <c r="B21" s="22"/>
      <c r="C21" s="77"/>
      <c r="D21" s="77" t="s">
        <v>171</v>
      </c>
      <c r="E21" s="77"/>
      <c r="F21" s="90">
        <f>58.96*0.5</f>
        <v>29.48</v>
      </c>
      <c r="G21" s="80"/>
      <c r="H21" s="80"/>
      <c r="I21" s="23"/>
    </row>
    <row r="22" spans="1:9" s="174" customFormat="1" ht="13.5" customHeight="1">
      <c r="A22" s="24">
        <v>8</v>
      </c>
      <c r="B22" s="22" t="s">
        <v>18</v>
      </c>
      <c r="C22" s="22">
        <v>132301201</v>
      </c>
      <c r="D22" s="22" t="s">
        <v>65</v>
      </c>
      <c r="E22" s="22" t="s">
        <v>22</v>
      </c>
      <c r="F22" s="74">
        <f>SUM(F23:F24)</f>
        <v>58.96200000000001</v>
      </c>
      <c r="G22" s="71"/>
      <c r="H22" s="75">
        <f>F22*G22</f>
        <v>0</v>
      </c>
      <c r="I22" s="23" t="s">
        <v>155</v>
      </c>
    </row>
    <row r="23" spans="1:9" s="174" customFormat="1" ht="27" customHeight="1">
      <c r="A23" s="24"/>
      <c r="B23" s="22"/>
      <c r="C23" s="77"/>
      <c r="D23" s="77" t="s">
        <v>169</v>
      </c>
      <c r="E23" s="77"/>
      <c r="F23" s="90">
        <f>(2+3.1+16.6+9.1)*1.1*2.3*0.5</f>
        <v>38.96200000000001</v>
      </c>
      <c r="G23" s="80"/>
      <c r="H23" s="80"/>
      <c r="I23" s="23"/>
    </row>
    <row r="24" spans="1:9" s="174" customFormat="1" ht="13.5" customHeight="1">
      <c r="A24" s="24"/>
      <c r="B24" s="22"/>
      <c r="C24" s="77"/>
      <c r="D24" s="77" t="s">
        <v>145</v>
      </c>
      <c r="E24" s="77"/>
      <c r="F24" s="90">
        <f>2*2*2.5*4*0.5</f>
        <v>20</v>
      </c>
      <c r="G24" s="80"/>
      <c r="H24" s="80"/>
      <c r="I24" s="23"/>
    </row>
    <row r="25" spans="1:9" s="174" customFormat="1" ht="13.5" customHeight="1">
      <c r="A25" s="24">
        <v>9</v>
      </c>
      <c r="B25" s="22" t="s">
        <v>18</v>
      </c>
      <c r="C25" s="22">
        <v>132301209</v>
      </c>
      <c r="D25" s="22" t="s">
        <v>66</v>
      </c>
      <c r="E25" s="22" t="s">
        <v>22</v>
      </c>
      <c r="F25" s="74">
        <f>SUM(F26)</f>
        <v>29.48</v>
      </c>
      <c r="G25" s="71"/>
      <c r="H25" s="75">
        <f>F25*G25</f>
        <v>0</v>
      </c>
      <c r="I25" s="23" t="s">
        <v>155</v>
      </c>
    </row>
    <row r="26" spans="1:9" s="174" customFormat="1" ht="13.5" customHeight="1">
      <c r="A26" s="24"/>
      <c r="B26" s="22"/>
      <c r="C26" s="77"/>
      <c r="D26" s="77" t="s">
        <v>172</v>
      </c>
      <c r="E26" s="77"/>
      <c r="F26" s="90">
        <f>58.96*0.5</f>
        <v>29.48</v>
      </c>
      <c r="G26" s="80"/>
      <c r="H26" s="80"/>
      <c r="I26" s="23"/>
    </row>
    <row r="27" spans="1:9" s="174" customFormat="1" ht="13.5" customHeight="1">
      <c r="A27" s="24">
        <v>10</v>
      </c>
      <c r="B27" s="22" t="s">
        <v>18</v>
      </c>
      <c r="C27" s="22">
        <v>151101102</v>
      </c>
      <c r="D27" s="22" t="s">
        <v>69</v>
      </c>
      <c r="E27" s="22" t="s">
        <v>24</v>
      </c>
      <c r="F27" s="74">
        <f>SUM(F28:F29)</f>
        <v>177.34399999999999</v>
      </c>
      <c r="G27" s="71"/>
      <c r="H27" s="75">
        <f>F27*G27</f>
        <v>0</v>
      </c>
      <c r="I27" s="23" t="s">
        <v>155</v>
      </c>
    </row>
    <row r="28" spans="1:9" s="174" customFormat="1" ht="13.5" customHeight="1">
      <c r="A28" s="24"/>
      <c r="B28" s="22"/>
      <c r="C28" s="77"/>
      <c r="D28" s="77" t="s">
        <v>173</v>
      </c>
      <c r="E28" s="77"/>
      <c r="F28" s="90">
        <f>(2+3.1+16.6+9.1)*2.3*2*0.8</f>
        <v>113.34400000000001</v>
      </c>
      <c r="G28" s="80"/>
      <c r="H28" s="80"/>
      <c r="I28" s="23"/>
    </row>
    <row r="29" spans="1:9" s="174" customFormat="1" ht="13.5" customHeight="1">
      <c r="A29" s="24"/>
      <c r="B29" s="22"/>
      <c r="C29" s="77"/>
      <c r="D29" s="77" t="s">
        <v>146</v>
      </c>
      <c r="E29" s="77"/>
      <c r="F29" s="90">
        <f>(2*2.5*4)*4*0.8</f>
        <v>64</v>
      </c>
      <c r="G29" s="80"/>
      <c r="H29" s="80"/>
      <c r="I29" s="23"/>
    </row>
    <row r="30" spans="1:9" s="174" customFormat="1">
      <c r="A30" s="24">
        <v>11</v>
      </c>
      <c r="B30" s="22" t="s">
        <v>18</v>
      </c>
      <c r="C30" s="22">
        <v>151101112</v>
      </c>
      <c r="D30" s="22" t="s">
        <v>70</v>
      </c>
      <c r="E30" s="22" t="s">
        <v>24</v>
      </c>
      <c r="F30" s="74">
        <f>F27</f>
        <v>177.34399999999999</v>
      </c>
      <c r="G30" s="71"/>
      <c r="H30" s="75">
        <f>F30*G30</f>
        <v>0</v>
      </c>
      <c r="I30" s="23" t="s">
        <v>155</v>
      </c>
    </row>
    <row r="31" spans="1:9" s="174" customFormat="1" ht="13.5" customHeight="1">
      <c r="A31" s="24">
        <v>12</v>
      </c>
      <c r="B31" s="22" t="s">
        <v>18</v>
      </c>
      <c r="C31" s="22">
        <v>161101101</v>
      </c>
      <c r="D31" s="22" t="s">
        <v>61</v>
      </c>
      <c r="E31" s="22" t="s">
        <v>22</v>
      </c>
      <c r="F31" s="74">
        <f>SUM(F32)</f>
        <v>117.92</v>
      </c>
      <c r="G31" s="71"/>
      <c r="H31" s="75">
        <f>F31*G31</f>
        <v>0</v>
      </c>
      <c r="I31" s="23" t="s">
        <v>155</v>
      </c>
    </row>
    <row r="32" spans="1:9" s="174" customFormat="1" ht="13.5" customHeight="1">
      <c r="A32" s="24"/>
      <c r="B32" s="22"/>
      <c r="C32" s="77"/>
      <c r="D32" s="77" t="s">
        <v>174</v>
      </c>
      <c r="E32" s="77"/>
      <c r="F32" s="90">
        <f>58.96+58.96</f>
        <v>117.92</v>
      </c>
      <c r="G32" s="80"/>
      <c r="H32" s="80"/>
      <c r="I32" s="23"/>
    </row>
    <row r="33" spans="1:10" s="174" customFormat="1" ht="13.5" customHeight="1">
      <c r="A33" s="24">
        <v>13</v>
      </c>
      <c r="B33" s="22" t="s">
        <v>18</v>
      </c>
      <c r="C33" s="22">
        <v>174101101</v>
      </c>
      <c r="D33" s="22" t="s">
        <v>25</v>
      </c>
      <c r="E33" s="22" t="s">
        <v>22</v>
      </c>
      <c r="F33" s="74">
        <f>SUM(F34:F35)</f>
        <v>92.426000000000016</v>
      </c>
      <c r="G33" s="71"/>
      <c r="H33" s="75">
        <f>F33*G33</f>
        <v>0</v>
      </c>
      <c r="I33" s="23" t="s">
        <v>155</v>
      </c>
    </row>
    <row r="34" spans="1:10" s="174" customFormat="1" ht="13.5" customHeight="1">
      <c r="A34" s="24"/>
      <c r="B34" s="22"/>
      <c r="C34" s="77"/>
      <c r="D34" s="77" t="s">
        <v>176</v>
      </c>
      <c r="E34" s="77"/>
      <c r="F34" s="90">
        <f>(2+3.1+16.6+9.1)*1.1*(2.3-0.15-0.3)</f>
        <v>62.678000000000011</v>
      </c>
      <c r="G34" s="80"/>
      <c r="H34" s="80"/>
      <c r="I34" s="23"/>
    </row>
    <row r="35" spans="1:10" s="174" customFormat="1" ht="13.5" customHeight="1">
      <c r="A35" s="24"/>
      <c r="B35" s="22"/>
      <c r="C35" s="77"/>
      <c r="D35" s="77" t="s">
        <v>149</v>
      </c>
      <c r="E35" s="77"/>
      <c r="F35" s="90">
        <f>(20+20)-2*2*0.15*4-1.963*4</f>
        <v>29.748000000000001</v>
      </c>
      <c r="G35" s="80"/>
      <c r="H35" s="80"/>
      <c r="I35" s="23"/>
    </row>
    <row r="36" spans="1:10" s="162" customFormat="1" ht="13.5" customHeight="1">
      <c r="A36" s="92">
        <v>14</v>
      </c>
      <c r="B36" s="93">
        <v>583</v>
      </c>
      <c r="C36" s="93">
        <v>583439300</v>
      </c>
      <c r="D36" s="93" t="s">
        <v>26</v>
      </c>
      <c r="E36" s="93" t="s">
        <v>27</v>
      </c>
      <c r="F36" s="94">
        <f>SUM(F37:F38)</f>
        <v>184.86</v>
      </c>
      <c r="G36" s="72"/>
      <c r="H36" s="95">
        <f>F36*G36</f>
        <v>0</v>
      </c>
      <c r="I36" s="96" t="s">
        <v>155</v>
      </c>
    </row>
    <row r="37" spans="1:10" s="162" customFormat="1" ht="13.5" customHeight="1">
      <c r="A37" s="92"/>
      <c r="B37" s="93"/>
      <c r="C37" s="97"/>
      <c r="D37" s="97" t="s">
        <v>177</v>
      </c>
      <c r="E37" s="97"/>
      <c r="F37" s="98">
        <f>62.68*2</f>
        <v>125.36</v>
      </c>
      <c r="G37" s="99"/>
      <c r="H37" s="99"/>
      <c r="I37" s="96"/>
    </row>
    <row r="38" spans="1:10" s="162" customFormat="1" ht="13.5" customHeight="1">
      <c r="A38" s="92"/>
      <c r="B38" s="93"/>
      <c r="C38" s="97"/>
      <c r="D38" s="97" t="s">
        <v>150</v>
      </c>
      <c r="E38" s="97"/>
      <c r="F38" s="98">
        <f>29.75*2</f>
        <v>59.5</v>
      </c>
      <c r="G38" s="99"/>
      <c r="H38" s="99"/>
      <c r="I38" s="96"/>
    </row>
    <row r="39" spans="1:10" s="174" customFormat="1" ht="13.5" customHeight="1">
      <c r="A39" s="24">
        <v>15</v>
      </c>
      <c r="B39" s="22" t="s">
        <v>18</v>
      </c>
      <c r="C39" s="22">
        <v>175111101</v>
      </c>
      <c r="D39" s="22" t="s">
        <v>28</v>
      </c>
      <c r="E39" s="22" t="s">
        <v>22</v>
      </c>
      <c r="F39" s="74">
        <f>SUM(F40:F40)</f>
        <v>10.164000000000003</v>
      </c>
      <c r="G39" s="71"/>
      <c r="H39" s="75">
        <f>F39*G39</f>
        <v>0</v>
      </c>
      <c r="I39" s="23" t="s">
        <v>155</v>
      </c>
    </row>
    <row r="40" spans="1:10" s="174" customFormat="1" ht="13.5" customHeight="1">
      <c r="A40" s="24"/>
      <c r="B40" s="22"/>
      <c r="C40" s="77"/>
      <c r="D40" s="77" t="s">
        <v>178</v>
      </c>
      <c r="E40" s="77"/>
      <c r="F40" s="90">
        <f>(2+3.1+16.6+9.1)*1.1*0.3</f>
        <v>10.164000000000003</v>
      </c>
      <c r="G40" s="80"/>
      <c r="H40" s="80"/>
      <c r="I40" s="23"/>
    </row>
    <row r="41" spans="1:10" s="174" customFormat="1" ht="13.5" customHeight="1">
      <c r="A41" s="92">
        <v>16</v>
      </c>
      <c r="B41" s="93">
        <v>583</v>
      </c>
      <c r="C41" s="93">
        <v>583438710</v>
      </c>
      <c r="D41" s="93" t="s">
        <v>29</v>
      </c>
      <c r="E41" s="93" t="s">
        <v>27</v>
      </c>
      <c r="F41" s="94">
        <f>SUM(F42:F42)</f>
        <v>20.260000000000002</v>
      </c>
      <c r="G41" s="72"/>
      <c r="H41" s="95">
        <f>F41*G41</f>
        <v>0</v>
      </c>
      <c r="I41" s="96" t="s">
        <v>155</v>
      </c>
    </row>
    <row r="42" spans="1:10" s="174" customFormat="1" ht="13.5" customHeight="1">
      <c r="A42" s="92"/>
      <c r="B42" s="93"/>
      <c r="C42" s="97"/>
      <c r="D42" s="97" t="s">
        <v>148</v>
      </c>
      <c r="E42" s="97"/>
      <c r="F42" s="98">
        <f>10.13*2</f>
        <v>20.260000000000002</v>
      </c>
      <c r="G42" s="99"/>
      <c r="H42" s="99"/>
      <c r="I42" s="96"/>
    </row>
    <row r="43" spans="1:10" s="174" customFormat="1" ht="13.5" customHeight="1">
      <c r="A43" s="24"/>
      <c r="B43" s="22"/>
      <c r="C43" s="17">
        <v>4</v>
      </c>
      <c r="D43" s="17" t="s">
        <v>31</v>
      </c>
      <c r="E43" s="17"/>
      <c r="F43" s="25"/>
      <c r="G43" s="20"/>
      <c r="H43" s="20">
        <f>SUM(H44:H46)</f>
        <v>0</v>
      </c>
      <c r="I43" s="23"/>
    </row>
    <row r="44" spans="1:10" s="174" customFormat="1" ht="13.5" customHeight="1">
      <c r="A44" s="24">
        <v>17</v>
      </c>
      <c r="B44" s="22">
        <v>271</v>
      </c>
      <c r="C44" s="22">
        <v>451573111</v>
      </c>
      <c r="D44" s="22" t="s">
        <v>161</v>
      </c>
      <c r="E44" s="22" t="s">
        <v>22</v>
      </c>
      <c r="F44" s="74">
        <f>SUM(F45:F46)</f>
        <v>7.4820000000000011</v>
      </c>
      <c r="G44" s="71"/>
      <c r="H44" s="75">
        <f>F44*G44</f>
        <v>0</v>
      </c>
      <c r="I44" s="23" t="s">
        <v>155</v>
      </c>
    </row>
    <row r="45" spans="1:10" s="174" customFormat="1" ht="13.5" customHeight="1">
      <c r="A45" s="24"/>
      <c r="B45" s="22"/>
      <c r="C45" s="22"/>
      <c r="D45" s="77" t="s">
        <v>179</v>
      </c>
      <c r="E45" s="22"/>
      <c r="F45" s="90">
        <f>(2+3.1+16.6+9.1)*1.1*0.15</f>
        <v>5.0820000000000016</v>
      </c>
      <c r="G45" s="75"/>
      <c r="H45" s="75"/>
      <c r="I45" s="23"/>
    </row>
    <row r="46" spans="1:10" s="174" customFormat="1" ht="13.5" customHeight="1">
      <c r="A46" s="24"/>
      <c r="B46" s="22"/>
      <c r="C46" s="77"/>
      <c r="D46" s="77" t="s">
        <v>147</v>
      </c>
      <c r="E46" s="77"/>
      <c r="F46" s="90">
        <f>2*2*0.15*4</f>
        <v>2.4</v>
      </c>
      <c r="G46" s="80"/>
      <c r="H46" s="80"/>
      <c r="I46" s="23"/>
    </row>
    <row r="47" spans="1:10" s="174" customFormat="1" ht="13.5" customHeight="1">
      <c r="A47" s="24"/>
      <c r="B47" s="22"/>
      <c r="C47" s="17" t="s">
        <v>32</v>
      </c>
      <c r="D47" s="17" t="s">
        <v>33</v>
      </c>
      <c r="E47" s="17"/>
      <c r="F47" s="25"/>
      <c r="G47" s="26"/>
      <c r="H47" s="20">
        <f>SUM(H48:H64)</f>
        <v>0</v>
      </c>
      <c r="I47" s="23"/>
      <c r="J47" s="175"/>
    </row>
    <row r="48" spans="1:10" s="174" customFormat="1" ht="13.5" customHeight="1">
      <c r="A48" s="24">
        <v>18</v>
      </c>
      <c r="B48" s="73">
        <v>871</v>
      </c>
      <c r="C48" s="73" t="s">
        <v>73</v>
      </c>
      <c r="D48" s="73" t="s">
        <v>128</v>
      </c>
      <c r="E48" s="22" t="s">
        <v>19</v>
      </c>
      <c r="F48" s="74">
        <f>SUM(F49:F49)</f>
        <v>33.88000000000001</v>
      </c>
      <c r="G48" s="71"/>
      <c r="H48" s="75">
        <f>F48*G48</f>
        <v>0</v>
      </c>
      <c r="I48" s="23" t="s">
        <v>156</v>
      </c>
      <c r="J48" s="175"/>
    </row>
    <row r="49" spans="1:23" s="174" customFormat="1" ht="13.5" customHeight="1">
      <c r="A49" s="76"/>
      <c r="B49" s="77"/>
      <c r="C49" s="77"/>
      <c r="D49" s="78" t="s">
        <v>180</v>
      </c>
      <c r="E49" s="78"/>
      <c r="F49" s="79">
        <f>(2+3.1+16.6+9.1)*1.1</f>
        <v>33.88000000000001</v>
      </c>
      <c r="G49" s="80"/>
      <c r="H49" s="80"/>
      <c r="I49" s="81"/>
      <c r="J49" s="175"/>
    </row>
    <row r="50" spans="1:23" s="174" customFormat="1" ht="27" customHeight="1">
      <c r="A50" s="76"/>
      <c r="B50" s="77"/>
      <c r="C50" s="77"/>
      <c r="D50" s="77" t="s">
        <v>74</v>
      </c>
      <c r="E50" s="77"/>
      <c r="F50" s="82"/>
      <c r="G50" s="80"/>
      <c r="H50" s="80"/>
      <c r="I50" s="81"/>
    </row>
    <row r="51" spans="1:23" s="174" customFormat="1" ht="13.5" customHeight="1">
      <c r="A51" s="24">
        <v>19</v>
      </c>
      <c r="B51" s="22">
        <v>871</v>
      </c>
      <c r="C51" s="73" t="s">
        <v>34</v>
      </c>
      <c r="D51" s="22" t="s">
        <v>35</v>
      </c>
      <c r="E51" s="22" t="s">
        <v>19</v>
      </c>
      <c r="F51" s="74">
        <f>F52</f>
        <v>33.88000000000001</v>
      </c>
      <c r="G51" s="71"/>
      <c r="H51" s="75">
        <f>F51*G51</f>
        <v>0</v>
      </c>
      <c r="I51" s="23" t="s">
        <v>156</v>
      </c>
    </row>
    <row r="52" spans="1:23" s="174" customFormat="1" ht="13.5" customHeight="1">
      <c r="A52" s="24"/>
      <c r="B52" s="22"/>
      <c r="C52" s="22"/>
      <c r="D52" s="77" t="s">
        <v>75</v>
      </c>
      <c r="E52" s="22"/>
      <c r="F52" s="90">
        <f>F48</f>
        <v>33.88000000000001</v>
      </c>
      <c r="G52" s="75"/>
      <c r="H52" s="75"/>
      <c r="I52" s="23"/>
      <c r="N52" s="176"/>
      <c r="O52" s="177"/>
      <c r="P52" s="177"/>
      <c r="Q52" s="178"/>
      <c r="R52" s="177"/>
      <c r="S52" s="179"/>
      <c r="T52" s="180"/>
      <c r="U52" s="180"/>
      <c r="V52" s="181"/>
      <c r="W52" s="182"/>
    </row>
    <row r="53" spans="1:23" s="174" customFormat="1" ht="13.5" customHeight="1">
      <c r="A53" s="24">
        <v>20</v>
      </c>
      <c r="B53" s="22">
        <v>871</v>
      </c>
      <c r="C53" s="73" t="s">
        <v>151</v>
      </c>
      <c r="D53" s="22" t="s">
        <v>152</v>
      </c>
      <c r="E53" s="22" t="s">
        <v>19</v>
      </c>
      <c r="F53" s="74">
        <f>F54</f>
        <v>21.01</v>
      </c>
      <c r="G53" s="71"/>
      <c r="H53" s="75">
        <f>F53*G53</f>
        <v>0</v>
      </c>
      <c r="I53" s="23" t="s">
        <v>156</v>
      </c>
    </row>
    <row r="54" spans="1:23" s="174" customFormat="1" ht="13.5" customHeight="1">
      <c r="A54" s="24"/>
      <c r="B54" s="22"/>
      <c r="C54" s="22"/>
      <c r="D54" s="77" t="s">
        <v>181</v>
      </c>
      <c r="E54" s="22"/>
      <c r="F54" s="90">
        <f>(11.3+7.8)*1.1</f>
        <v>21.01</v>
      </c>
      <c r="G54" s="75"/>
      <c r="H54" s="75"/>
      <c r="I54" s="23"/>
      <c r="N54" s="176"/>
      <c r="O54" s="177"/>
      <c r="P54" s="177"/>
      <c r="Q54" s="178"/>
      <c r="R54" s="177"/>
      <c r="S54" s="179"/>
      <c r="T54" s="180"/>
      <c r="U54" s="180"/>
      <c r="V54" s="181"/>
      <c r="W54" s="182"/>
    </row>
    <row r="55" spans="1:23" ht="27" customHeight="1">
      <c r="A55" s="184">
        <v>21</v>
      </c>
      <c r="B55" s="22">
        <v>871</v>
      </c>
      <c r="C55" s="22" t="s">
        <v>76</v>
      </c>
      <c r="D55" s="22" t="s">
        <v>205</v>
      </c>
      <c r="E55" s="22" t="s">
        <v>30</v>
      </c>
      <c r="F55" s="139">
        <f>F56</f>
        <v>3</v>
      </c>
      <c r="G55" s="71"/>
      <c r="H55" s="75">
        <f>F55*G55</f>
        <v>0</v>
      </c>
      <c r="I55" s="23" t="s">
        <v>156</v>
      </c>
      <c r="J55" s="86"/>
    </row>
    <row r="56" spans="1:23" ht="40.5" customHeight="1">
      <c r="A56" s="24"/>
      <c r="B56" s="22"/>
      <c r="C56" s="22"/>
      <c r="D56" s="151" t="s">
        <v>206</v>
      </c>
      <c r="E56" s="22"/>
      <c r="F56" s="140">
        <v>3</v>
      </c>
      <c r="G56" s="75"/>
      <c r="H56" s="75"/>
      <c r="I56" s="23"/>
      <c r="J56" s="141"/>
    </row>
    <row r="57" spans="1:23" ht="27" customHeight="1">
      <c r="A57" s="184" t="s">
        <v>202</v>
      </c>
      <c r="B57" s="185">
        <v>871</v>
      </c>
      <c r="C57" s="185" t="s">
        <v>203</v>
      </c>
      <c r="D57" s="185" t="s">
        <v>204</v>
      </c>
      <c r="E57" s="185" t="s">
        <v>30</v>
      </c>
      <c r="F57" s="186">
        <f>F58</f>
        <v>1</v>
      </c>
      <c r="G57" s="183"/>
      <c r="H57" s="187">
        <f>F57*G57</f>
        <v>0</v>
      </c>
      <c r="I57" s="188" t="s">
        <v>156</v>
      </c>
      <c r="J57" s="86"/>
    </row>
    <row r="58" spans="1:23" ht="53.25" customHeight="1">
      <c r="A58" s="24"/>
      <c r="B58" s="22"/>
      <c r="C58" s="22"/>
      <c r="D58" s="151" t="s">
        <v>207</v>
      </c>
      <c r="E58" s="22"/>
      <c r="F58" s="140">
        <v>1</v>
      </c>
      <c r="G58" s="75"/>
      <c r="H58" s="75"/>
      <c r="I58" s="23"/>
      <c r="J58" s="141"/>
    </row>
    <row r="59" spans="1:23" s="174" customFormat="1" ht="13.5" customHeight="1">
      <c r="A59" s="24">
        <v>22</v>
      </c>
      <c r="B59" s="22">
        <v>871</v>
      </c>
      <c r="C59" s="22" t="s">
        <v>77</v>
      </c>
      <c r="D59" s="22" t="s">
        <v>182</v>
      </c>
      <c r="E59" s="22" t="s">
        <v>30</v>
      </c>
      <c r="F59" s="139">
        <f>F60</f>
        <v>7</v>
      </c>
      <c r="G59" s="71"/>
      <c r="H59" s="75">
        <f>F59*G59</f>
        <v>0</v>
      </c>
      <c r="I59" s="23" t="s">
        <v>156</v>
      </c>
    </row>
    <row r="60" spans="1:23" s="174" customFormat="1" ht="27" customHeight="1">
      <c r="A60" s="24"/>
      <c r="B60" s="22"/>
      <c r="C60" s="142"/>
      <c r="D60" s="77" t="s">
        <v>36</v>
      </c>
      <c r="E60" s="142"/>
      <c r="F60" s="143">
        <v>7</v>
      </c>
      <c r="G60" s="144"/>
      <c r="H60" s="144"/>
      <c r="I60" s="145"/>
    </row>
    <row r="61" spans="1:23" s="174" customFormat="1" ht="13.5" customHeight="1">
      <c r="A61" s="24">
        <v>23</v>
      </c>
      <c r="B61" s="22">
        <v>871</v>
      </c>
      <c r="C61" s="22" t="s">
        <v>79</v>
      </c>
      <c r="D61" s="22" t="s">
        <v>183</v>
      </c>
      <c r="E61" s="22" t="s">
        <v>30</v>
      </c>
      <c r="F61" s="139">
        <f>F62</f>
        <v>1</v>
      </c>
      <c r="G61" s="71"/>
      <c r="H61" s="75">
        <f>F61*G61</f>
        <v>0</v>
      </c>
      <c r="I61" s="23" t="s">
        <v>156</v>
      </c>
    </row>
    <row r="62" spans="1:23" s="174" customFormat="1" ht="27" customHeight="1">
      <c r="A62" s="24"/>
      <c r="B62" s="22"/>
      <c r="C62" s="142"/>
      <c r="D62" s="77" t="s">
        <v>36</v>
      </c>
      <c r="E62" s="142"/>
      <c r="F62" s="143">
        <v>1</v>
      </c>
      <c r="G62" s="144"/>
      <c r="H62" s="144"/>
      <c r="I62" s="145"/>
    </row>
    <row r="63" spans="1:23" ht="13.5" customHeight="1">
      <c r="A63" s="24">
        <v>24</v>
      </c>
      <c r="B63" s="22">
        <v>892</v>
      </c>
      <c r="C63" s="22" t="s">
        <v>80</v>
      </c>
      <c r="D63" s="22" t="s">
        <v>153</v>
      </c>
      <c r="E63" s="22" t="s">
        <v>30</v>
      </c>
      <c r="F63" s="74">
        <f>F64</f>
        <v>1</v>
      </c>
      <c r="G63" s="71"/>
      <c r="H63" s="75">
        <f>F63*G63</f>
        <v>0</v>
      </c>
      <c r="I63" s="23" t="s">
        <v>156</v>
      </c>
    </row>
    <row r="64" spans="1:23" ht="27" customHeight="1">
      <c r="A64" s="24"/>
      <c r="B64" s="22"/>
      <c r="C64" s="22"/>
      <c r="D64" s="77" t="s">
        <v>154</v>
      </c>
      <c r="E64" s="22"/>
      <c r="F64" s="90">
        <v>1</v>
      </c>
      <c r="G64" s="75"/>
      <c r="H64" s="75"/>
      <c r="I64" s="146"/>
    </row>
    <row r="65" spans="1:13" s="174" customFormat="1" ht="13.5" customHeight="1">
      <c r="A65" s="24"/>
      <c r="B65" s="22"/>
      <c r="C65" s="17" t="s">
        <v>37</v>
      </c>
      <c r="D65" s="17" t="s">
        <v>38</v>
      </c>
      <c r="E65" s="17"/>
      <c r="F65" s="25"/>
      <c r="G65" s="20"/>
      <c r="H65" s="20">
        <f>H66</f>
        <v>0</v>
      </c>
      <c r="I65" s="152"/>
    </row>
    <row r="66" spans="1:13" s="10" customFormat="1" ht="13.5" customHeight="1">
      <c r="A66" s="24">
        <v>25</v>
      </c>
      <c r="B66" s="89" t="s">
        <v>84</v>
      </c>
      <c r="C66" s="22" t="s">
        <v>85</v>
      </c>
      <c r="D66" s="22" t="s">
        <v>39</v>
      </c>
      <c r="E66" s="22" t="s">
        <v>22</v>
      </c>
      <c r="F66" s="74">
        <f>F67</f>
        <v>117.92</v>
      </c>
      <c r="G66" s="153">
        <f>SUM(H68:H72)/F66</f>
        <v>0</v>
      </c>
      <c r="H66" s="75">
        <f>F66*G66</f>
        <v>0</v>
      </c>
      <c r="I66" s="23" t="s">
        <v>156</v>
      </c>
      <c r="J66" s="170"/>
      <c r="K66" s="161"/>
      <c r="L66" s="161"/>
      <c r="M66" s="162"/>
    </row>
    <row r="67" spans="1:13" s="88" customFormat="1" ht="39.75" customHeight="1">
      <c r="A67" s="163"/>
      <c r="B67" s="164"/>
      <c r="C67" s="165"/>
      <c r="D67" s="77" t="s">
        <v>175</v>
      </c>
      <c r="E67" s="77"/>
      <c r="F67" s="90">
        <f>58.96+58.96</f>
        <v>117.92</v>
      </c>
      <c r="G67" s="75"/>
      <c r="H67" s="75"/>
      <c r="I67" s="146"/>
      <c r="J67" s="170"/>
      <c r="K67" s="168"/>
      <c r="L67" s="168"/>
      <c r="M67" s="162"/>
    </row>
    <row r="68" spans="1:13" s="88" customFormat="1" ht="13.5" customHeight="1">
      <c r="A68" s="169" t="s">
        <v>185</v>
      </c>
      <c r="B68" s="22"/>
      <c r="C68" s="22"/>
      <c r="D68" s="77" t="s">
        <v>86</v>
      </c>
      <c r="E68" s="151" t="s">
        <v>22</v>
      </c>
      <c r="F68" s="90">
        <f>F66</f>
        <v>117.92</v>
      </c>
      <c r="G68" s="53"/>
      <c r="H68" s="90">
        <f t="shared" ref="H68:H72" si="0">F68*G68</f>
        <v>0</v>
      </c>
      <c r="I68" s="146"/>
      <c r="J68" s="170"/>
      <c r="K68" s="170"/>
      <c r="L68" s="170"/>
      <c r="M68" s="162"/>
    </row>
    <row r="69" spans="1:13" s="88" customFormat="1" ht="13.5" customHeight="1">
      <c r="A69" s="169" t="s">
        <v>186</v>
      </c>
      <c r="B69" s="22"/>
      <c r="C69" s="22"/>
      <c r="D69" s="77" t="s">
        <v>87</v>
      </c>
      <c r="E69" s="151" t="s">
        <v>22</v>
      </c>
      <c r="F69" s="90">
        <f>F68</f>
        <v>117.92</v>
      </c>
      <c r="G69" s="53"/>
      <c r="H69" s="90">
        <f t="shared" si="0"/>
        <v>0</v>
      </c>
      <c r="I69" s="146"/>
      <c r="J69" s="170"/>
      <c r="K69" s="174"/>
      <c r="L69" s="162"/>
      <c r="M69" s="162"/>
    </row>
    <row r="70" spans="1:13" s="88" customFormat="1" ht="13.5" customHeight="1">
      <c r="A70" s="169" t="s">
        <v>187</v>
      </c>
      <c r="B70" s="22"/>
      <c r="C70" s="22"/>
      <c r="D70" s="77" t="s">
        <v>88</v>
      </c>
      <c r="E70" s="151" t="s">
        <v>22</v>
      </c>
      <c r="F70" s="90">
        <f>F69</f>
        <v>117.92</v>
      </c>
      <c r="G70" s="53"/>
      <c r="H70" s="90">
        <f t="shared" si="0"/>
        <v>0</v>
      </c>
      <c r="I70" s="146"/>
      <c r="J70" s="170"/>
      <c r="K70" s="174"/>
      <c r="L70" s="162"/>
      <c r="M70" s="162"/>
    </row>
    <row r="71" spans="1:13" s="88" customFormat="1" ht="13.5" customHeight="1">
      <c r="A71" s="169" t="s">
        <v>188</v>
      </c>
      <c r="B71" s="22"/>
      <c r="C71" s="22"/>
      <c r="D71" s="77" t="s">
        <v>158</v>
      </c>
      <c r="E71" s="151" t="s">
        <v>22</v>
      </c>
      <c r="F71" s="90">
        <f>F70</f>
        <v>117.92</v>
      </c>
      <c r="G71" s="53"/>
      <c r="H71" s="90">
        <f t="shared" si="0"/>
        <v>0</v>
      </c>
      <c r="I71" s="146"/>
      <c r="J71" s="170"/>
      <c r="K71" s="174"/>
      <c r="L71" s="162"/>
      <c r="M71" s="162"/>
    </row>
    <row r="72" spans="1:13" s="88" customFormat="1" ht="13.5" customHeight="1">
      <c r="A72" s="169" t="s">
        <v>189</v>
      </c>
      <c r="B72" s="22"/>
      <c r="C72" s="22"/>
      <c r="D72" s="77" t="s">
        <v>89</v>
      </c>
      <c r="E72" s="151" t="s">
        <v>22</v>
      </c>
      <c r="F72" s="90">
        <f>F71</f>
        <v>117.92</v>
      </c>
      <c r="G72" s="53"/>
      <c r="H72" s="90">
        <f t="shared" si="0"/>
        <v>0</v>
      </c>
      <c r="I72" s="146"/>
      <c r="J72" s="170"/>
      <c r="K72" s="174"/>
      <c r="L72" s="162"/>
      <c r="M72" s="162"/>
    </row>
    <row r="73" spans="1:13" s="86" customFormat="1" ht="13.5" customHeight="1">
      <c r="A73" s="24"/>
      <c r="B73" s="24"/>
      <c r="C73" s="17" t="s">
        <v>40</v>
      </c>
      <c r="D73" s="17" t="s">
        <v>41</v>
      </c>
      <c r="E73" s="17"/>
      <c r="F73" s="25"/>
      <c r="G73" s="20"/>
      <c r="H73" s="20">
        <f>SUM(H74:H76)</f>
        <v>0</v>
      </c>
      <c r="I73" s="146"/>
    </row>
    <row r="74" spans="1:13" ht="13.5" customHeight="1">
      <c r="A74" s="87" t="s">
        <v>137</v>
      </c>
      <c r="B74" s="171" t="s">
        <v>164</v>
      </c>
      <c r="C74" s="156" t="s">
        <v>165</v>
      </c>
      <c r="D74" s="156" t="s">
        <v>166</v>
      </c>
      <c r="E74" s="22" t="s">
        <v>27</v>
      </c>
      <c r="F74" s="74">
        <v>272.904</v>
      </c>
      <c r="G74" s="71"/>
      <c r="H74" s="75">
        <f>F74*G74</f>
        <v>0</v>
      </c>
      <c r="I74" s="23" t="s">
        <v>167</v>
      </c>
    </row>
    <row r="75" spans="1:13" ht="13.5" customHeight="1">
      <c r="A75" s="24">
        <v>27</v>
      </c>
      <c r="B75" s="22" t="s">
        <v>42</v>
      </c>
      <c r="C75" s="22" t="s">
        <v>43</v>
      </c>
      <c r="D75" s="22" t="s">
        <v>44</v>
      </c>
      <c r="E75" s="22" t="s">
        <v>15</v>
      </c>
      <c r="F75" s="74">
        <f>F76</f>
        <v>10</v>
      </c>
      <c r="G75" s="71"/>
      <c r="H75" s="75">
        <f>F75*G75</f>
        <v>0</v>
      </c>
      <c r="I75" s="23" t="s">
        <v>155</v>
      </c>
    </row>
    <row r="76" spans="1:13" ht="27" customHeight="1">
      <c r="A76" s="24"/>
      <c r="B76" s="22"/>
      <c r="C76" s="142"/>
      <c r="D76" s="77" t="s">
        <v>45</v>
      </c>
      <c r="E76" s="142"/>
      <c r="F76" s="143">
        <v>10</v>
      </c>
      <c r="G76" s="144"/>
      <c r="H76" s="144"/>
      <c r="I76" s="145"/>
    </row>
    <row r="77" spans="1:13" ht="21" customHeight="1">
      <c r="A77" s="24"/>
      <c r="B77" s="24"/>
      <c r="C77" s="17" t="s">
        <v>46</v>
      </c>
      <c r="D77" s="17" t="s">
        <v>47</v>
      </c>
      <c r="E77" s="17"/>
      <c r="F77" s="25"/>
      <c r="G77" s="20"/>
      <c r="H77" s="20">
        <f>H78</f>
        <v>0</v>
      </c>
      <c r="I77" s="145"/>
      <c r="J77" s="86"/>
    </row>
    <row r="78" spans="1:13" ht="13.5" customHeight="1">
      <c r="A78" s="24"/>
      <c r="B78" s="24"/>
      <c r="C78" s="17" t="s">
        <v>48</v>
      </c>
      <c r="D78" s="17" t="s">
        <v>49</v>
      </c>
      <c r="E78" s="17"/>
      <c r="F78" s="25"/>
      <c r="G78" s="20"/>
      <c r="H78" s="20">
        <f>SUM(H79:H85)</f>
        <v>0</v>
      </c>
      <c r="I78" s="146"/>
      <c r="J78" s="86"/>
    </row>
    <row r="79" spans="1:13" ht="13.5" customHeight="1">
      <c r="A79" s="24">
        <v>28</v>
      </c>
      <c r="B79" s="89" t="s">
        <v>81</v>
      </c>
      <c r="C79" s="22">
        <v>230170004</v>
      </c>
      <c r="D79" s="22" t="s">
        <v>82</v>
      </c>
      <c r="E79" s="22" t="s">
        <v>50</v>
      </c>
      <c r="F79" s="139">
        <f>F80</f>
        <v>1</v>
      </c>
      <c r="G79" s="71"/>
      <c r="H79" s="75">
        <f>F79*G79</f>
        <v>0</v>
      </c>
      <c r="I79" s="23" t="s">
        <v>155</v>
      </c>
      <c r="J79" s="86"/>
    </row>
    <row r="80" spans="1:13" ht="13.5" customHeight="1">
      <c r="A80" s="24"/>
      <c r="B80" s="24"/>
      <c r="C80" s="77"/>
      <c r="D80" s="77" t="s">
        <v>51</v>
      </c>
      <c r="E80" s="77"/>
      <c r="F80" s="143">
        <v>1</v>
      </c>
      <c r="G80" s="80"/>
      <c r="H80" s="80"/>
      <c r="I80" s="173"/>
      <c r="J80" s="86"/>
    </row>
    <row r="81" spans="1:10" ht="13.5" customHeight="1">
      <c r="A81" s="24"/>
      <c r="B81" s="24"/>
      <c r="C81" s="77"/>
      <c r="D81" s="77" t="s">
        <v>52</v>
      </c>
      <c r="E81" s="77"/>
      <c r="F81" s="143"/>
      <c r="G81" s="80"/>
      <c r="H81" s="80"/>
      <c r="I81" s="173"/>
      <c r="J81" s="86"/>
    </row>
    <row r="82" spans="1:10" ht="13.5" customHeight="1">
      <c r="A82" s="24">
        <v>29</v>
      </c>
      <c r="B82" s="89" t="s">
        <v>81</v>
      </c>
      <c r="C82" s="22">
        <v>230170014</v>
      </c>
      <c r="D82" s="22" t="s">
        <v>62</v>
      </c>
      <c r="E82" s="22" t="s">
        <v>19</v>
      </c>
      <c r="F82" s="139">
        <f>F83</f>
        <v>30.800000000000004</v>
      </c>
      <c r="G82" s="71"/>
      <c r="H82" s="75">
        <f>F82*G82</f>
        <v>0</v>
      </c>
      <c r="I82" s="23" t="s">
        <v>155</v>
      </c>
      <c r="J82" s="86"/>
    </row>
    <row r="83" spans="1:10" ht="13.5" customHeight="1">
      <c r="A83" s="24"/>
      <c r="B83" s="24"/>
      <c r="C83" s="77"/>
      <c r="D83" s="77" t="s">
        <v>184</v>
      </c>
      <c r="E83" s="77"/>
      <c r="F83" s="143">
        <f>2+3.1+16.6+9.1</f>
        <v>30.800000000000004</v>
      </c>
      <c r="G83" s="80"/>
      <c r="H83" s="80"/>
      <c r="I83" s="173"/>
      <c r="J83" s="86"/>
    </row>
    <row r="84" spans="1:10" ht="13.5" customHeight="1">
      <c r="A84" s="24">
        <v>30</v>
      </c>
      <c r="B84" s="22" t="s">
        <v>42</v>
      </c>
      <c r="C84" s="22" t="s">
        <v>43</v>
      </c>
      <c r="D84" s="22" t="s">
        <v>44</v>
      </c>
      <c r="E84" s="22" t="s">
        <v>15</v>
      </c>
      <c r="F84" s="74">
        <f>F85</f>
        <v>3</v>
      </c>
      <c r="G84" s="71"/>
      <c r="H84" s="75">
        <f>F84*G84</f>
        <v>0</v>
      </c>
      <c r="I84" s="23" t="s">
        <v>155</v>
      </c>
      <c r="J84" s="86"/>
    </row>
    <row r="85" spans="1:10" ht="27" customHeight="1">
      <c r="A85" s="24"/>
      <c r="B85" s="22"/>
      <c r="C85" s="142"/>
      <c r="D85" s="77" t="s">
        <v>45</v>
      </c>
      <c r="E85" s="142"/>
      <c r="F85" s="143">
        <v>3</v>
      </c>
      <c r="G85" s="144"/>
      <c r="H85" s="144"/>
      <c r="I85" s="145"/>
      <c r="J85" s="86"/>
    </row>
    <row r="86" spans="1:10" ht="21" customHeight="1">
      <c r="A86" s="27"/>
      <c r="B86" s="28"/>
      <c r="C86" s="28"/>
      <c r="D86" s="28" t="s">
        <v>53</v>
      </c>
      <c r="E86" s="28"/>
      <c r="F86" s="29"/>
      <c r="G86" s="30"/>
      <c r="H86" s="30">
        <f>H77+H9</f>
        <v>0</v>
      </c>
      <c r="I86" s="10"/>
    </row>
    <row r="87" spans="1:10">
      <c r="A87" s="31"/>
      <c r="B87" s="31"/>
      <c r="C87" s="32"/>
      <c r="D87" s="32"/>
      <c r="E87" s="33"/>
      <c r="F87" s="34"/>
      <c r="G87" s="35"/>
      <c r="H87" s="35"/>
      <c r="I87" s="36"/>
    </row>
    <row r="88" spans="1:10" ht="13.5" customHeight="1">
      <c r="A88" s="233" t="s">
        <v>54</v>
      </c>
      <c r="B88" s="234"/>
      <c r="C88" s="235"/>
      <c r="D88" s="37" t="s">
        <v>95</v>
      </c>
      <c r="E88" s="38"/>
      <c r="F88" s="39"/>
      <c r="G88" s="40"/>
      <c r="H88" s="41">
        <f>H86</f>
        <v>0</v>
      </c>
      <c r="I88" s="42"/>
    </row>
    <row r="89" spans="1:10" ht="13.5" customHeight="1">
      <c r="A89" s="43"/>
      <c r="B89" s="44"/>
      <c r="C89" s="44"/>
      <c r="D89" s="45"/>
      <c r="E89" s="46"/>
      <c r="F89" s="47"/>
      <c r="G89" s="48"/>
      <c r="H89" s="49"/>
      <c r="I89" s="10"/>
    </row>
    <row r="90" spans="1:10" ht="13.5" customHeight="1">
      <c r="A90" s="50" t="s">
        <v>55</v>
      </c>
      <c r="B90" s="50"/>
      <c r="C90" s="50"/>
      <c r="D90" s="50"/>
      <c r="E90" s="50"/>
      <c r="F90" s="50"/>
      <c r="G90" s="50"/>
      <c r="H90" s="50"/>
      <c r="I90" s="50"/>
    </row>
    <row r="91" spans="1:10" ht="27" customHeight="1">
      <c r="A91" s="232" t="s">
        <v>56</v>
      </c>
      <c r="B91" s="232"/>
      <c r="C91" s="232"/>
      <c r="D91" s="232"/>
      <c r="E91" s="232"/>
      <c r="F91" s="232"/>
      <c r="G91" s="232"/>
      <c r="H91" s="50"/>
      <c r="I91" s="10"/>
    </row>
    <row r="92" spans="1:10" ht="93.75" customHeight="1">
      <c r="A92" s="232" t="s">
        <v>57</v>
      </c>
      <c r="B92" s="232"/>
      <c r="C92" s="232"/>
      <c r="D92" s="232"/>
      <c r="E92" s="232"/>
      <c r="F92" s="232"/>
      <c r="G92" s="232"/>
      <c r="H92" s="50"/>
      <c r="I92" s="50"/>
    </row>
    <row r="93" spans="1:10" ht="13.5" customHeight="1">
      <c r="A93" s="232" t="s">
        <v>58</v>
      </c>
      <c r="B93" s="232"/>
      <c r="C93" s="232"/>
      <c r="D93" s="232"/>
      <c r="E93" s="232"/>
      <c r="F93" s="232"/>
      <c r="G93" s="232"/>
      <c r="H93" s="51"/>
      <c r="I93" s="52"/>
    </row>
    <row r="94" spans="1:10" ht="13.5" customHeight="1">
      <c r="A94" s="232" t="s">
        <v>59</v>
      </c>
      <c r="B94" s="232"/>
      <c r="C94" s="232"/>
      <c r="D94" s="232"/>
      <c r="E94" s="232"/>
      <c r="F94" s="232"/>
      <c r="G94" s="232"/>
      <c r="H94" s="51"/>
      <c r="I94" s="52"/>
    </row>
  </sheetData>
  <sheetProtection password="CAD9" sheet="1" objects="1" scenarios="1"/>
  <mergeCells count="8">
    <mergeCell ref="A2:I2"/>
    <mergeCell ref="A94:G94"/>
    <mergeCell ref="A3:D3"/>
    <mergeCell ref="A4:D4"/>
    <mergeCell ref="A88:C88"/>
    <mergeCell ref="A91:G91"/>
    <mergeCell ref="A92:G92"/>
    <mergeCell ref="A93:G9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CELKOVA</vt:lpstr>
      <vt:lpstr>AREÁLOVÁ DEŠŤOVÁ KANALIZACE</vt:lpstr>
      <vt:lpstr>AREÁLOVÁ SPLAŠKOVÁ KANALIZACE</vt:lpstr>
      <vt:lpstr>'AREÁLOVÁ DEŠŤOVÁ KANALIZACE'!Oblast_tisku</vt:lpstr>
      <vt:lpstr>'AREÁLOVÁ SPLAŠKOVÁ KANALIZACE'!Oblast_tisku</vt:lpstr>
      <vt:lpstr>'REKAPITULACE CELKOVA'!Oblast_tisku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kureckap</cp:lastModifiedBy>
  <cp:lastPrinted>2018-06-25T13:18:28Z</cp:lastPrinted>
  <dcterms:created xsi:type="dcterms:W3CDTF">2017-08-04T06:30:03Z</dcterms:created>
  <dcterms:modified xsi:type="dcterms:W3CDTF">2018-10-24T05:35:04Z</dcterms:modified>
</cp:coreProperties>
</file>